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yaFHGrXXDFwFbPYwnUytaah5GH4No6LANgDu9AOOVZ/G3EJkSovvzn3aet5XPhzhNGWyPK8hlqzZVwwVPt/+Rw==" workbookSaltValue="d6LzY/0ySb11enLaWPZc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F11" i="11" s="1"/>
  <c r="F16" i="11"/>
  <c r="AQ16" i="11" s="1"/>
  <c r="EP31" i="8"/>
  <c r="AL14" i="16"/>
  <c r="AJ14" i="16"/>
  <c r="EP31" i="19"/>
  <c r="T9" i="11"/>
  <c r="BH11" i="16"/>
  <c r="S20" i="14"/>
  <c r="V20" i="14" s="1"/>
  <c r="BK13" i="11"/>
  <c r="BH16" i="11"/>
  <c r="BH19" i="16"/>
  <c r="P18" i="17"/>
  <c r="BM29" i="11"/>
  <c r="BF29" i="11"/>
  <c r="BH19" i="11"/>
  <c r="BK19" i="11"/>
  <c r="BK9" i="11"/>
  <c r="S14" i="16"/>
  <c r="P14" i="16"/>
  <c r="F13" i="16"/>
  <c r="R30" i="17"/>
  <c r="K26" i="2"/>
  <c r="N26" i="2"/>
  <c r="M23" i="2"/>
  <c r="F30" i="17"/>
  <c r="F26" i="17"/>
  <c r="F14" i="7"/>
  <c r="BK16" i="11"/>
  <c r="BJ21" i="11"/>
  <c r="V21" i="11"/>
  <c r="BF22" i="11"/>
  <c r="BH9" i="11"/>
  <c r="BI16" i="11"/>
  <c r="BJ29" i="11"/>
  <c r="BM13" i="11"/>
  <c r="BJ12" i="11"/>
  <c r="BG9" i="11"/>
  <c r="BL11" i="11"/>
  <c r="R18" i="20"/>
  <c r="R23" i="20" s="1"/>
  <c r="BL21" i="11"/>
  <c r="BK18" i="11"/>
  <c r="T18" i="16"/>
  <c r="BM20" i="11"/>
  <c r="AP18" i="20"/>
  <c r="BJ28" i="11"/>
  <c r="BG21" i="11"/>
  <c r="BU28" i="17"/>
  <c r="BU25" i="17"/>
  <c r="BU11" i="17"/>
  <c r="BV28" i="16"/>
  <c r="BW9" i="20"/>
  <c r="BV13" i="16"/>
  <c r="BU21" i="17"/>
  <c r="BW13" i="20"/>
  <c r="BV17" i="16"/>
  <c r="BV21" i="16"/>
  <c r="BW17" i="20"/>
  <c r="BU29" i="17"/>
  <c r="BV25" i="16"/>
  <c r="BV11" i="16"/>
  <c r="X21" i="16"/>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X12" i="17"/>
  <c r="L10" i="2"/>
  <c r="L28" i="2"/>
  <c r="X22" i="16"/>
  <c r="X21" i="20"/>
  <c r="S16" i="17"/>
  <c r="AH14" i="16"/>
  <c r="S17" i="17"/>
  <c r="L16" i="2"/>
  <c r="L17" i="2"/>
  <c r="X19" i="16"/>
  <c r="L18" i="2"/>
  <c r="X10" i="21"/>
  <c r="AO14" i="21"/>
  <c r="X16" i="16"/>
  <c r="X23" i="16" s="1"/>
  <c r="U9" i="17"/>
  <c r="U31" i="17" s="1"/>
  <c r="AA11" i="16"/>
  <c r="V10" i="16"/>
  <c r="L9" i="2"/>
  <c r="AP14" i="16"/>
  <c r="V25" i="16"/>
  <c r="V9" i="16"/>
  <c r="X13" i="16"/>
  <c r="T23" i="17"/>
  <c r="T26" i="17" s="1"/>
  <c r="T30" i="17" s="1"/>
  <c r="U26" i="16"/>
  <c r="BG16"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E23" i="12" l="1"/>
  <c r="BF17" i="8"/>
  <c r="K30" i="2"/>
  <c r="AL21" i="11"/>
  <c r="L17" i="14"/>
  <c r="BE17" i="13"/>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F11" i="16"/>
  <c r="BL11" i="16"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H30" i="16"/>
  <c r="S10" i="14"/>
  <c r="V10" i="14" s="1"/>
  <c r="S13" i="14"/>
  <c r="V13" i="14" s="1"/>
  <c r="S21" i="14"/>
  <c r="V21" i="14" s="1"/>
  <c r="S18" i="14"/>
  <c r="V18" i="14" s="1"/>
  <c r="S28" i="14"/>
  <c r="V28" i="14" s="1"/>
  <c r="R11" i="14"/>
  <c r="R18" i="14"/>
  <c r="R22" i="14"/>
  <c r="R28" i="14"/>
  <c r="T1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<sst xmlns="http://schemas.openxmlformats.org/spreadsheetml/2006/main" count="2682" uniqueCount="1193">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</sst>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jsoGR6mx2yPuCNZKLdq6q0p1GUjL5G2OIc9HxxMX3B/Gi78ENGLmfnTYakQ+HQD7XiSuK8elTfkQtDPgqtWoQ==" saltValue="fepVJTiKe7LxqTQ08bLs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36.28358208955224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1190</v>
      </c>
      <c r="D17" s="239">
        <f>IF(ISNUMBER(IF(D_I="SI",Datos!I17,Datos!I17+Datos!AC17)),IF(D_I="SI",Datos!I17,Datos!I17+Datos!AC17)," - ")</f>
        <v>1190</v>
      </c>
      <c r="E17" s="240">
        <f>IF(ISNUMBER(IF(D_I="SI",Datos!J17,Datos!J17+Datos!AD17)),IF(D_I="SI",Datos!J17,Datos!J17+Datos!AD17)," - ")</f>
        <v>767</v>
      </c>
      <c r="F17" s="240">
        <f>IF(ISNUMBER(IF(D_I="SI",Datos!K17,Datos!K17+Datos!AE17)),IF(D_I="SI",Datos!K17,Datos!K17+Datos!AE17)," - ")</f>
        <v>684</v>
      </c>
      <c r="G17" s="1390" t="str">
        <f>IF(Datos!E17&lt;&gt;"",Datos!E17,Datos!D17)</f>
        <v>04</v>
      </c>
      <c r="H17" s="241">
        <f>IF(ISNUMBER(IF(D_I="SI",Datos!L17,Datos!L17+Datos!AF17)),IF(D_I="SI",Datos!L17,Datos!L17+Datos!AF17)," - ")</f>
        <v>1273</v>
      </c>
      <c r="I17" s="1400" t="str">
        <f>IF(ISNUMBER(Datos!AS17/Datos!BM17),Datos!AS17/Datos!BM17," - ")</f>
        <v xml:space="preserve"> - </v>
      </c>
      <c r="J17" s="1401">
        <f>IF(ISNUMBER(Datos!BY17/Datos!CN17),Datos!BY17/Datos!CN17," - ")</f>
        <v>0</v>
      </c>
      <c r="K17" s="244">
        <f t="shared" si="3"/>
        <v>6.9747899159663868E-2</v>
      </c>
      <c r="L17" s="1402">
        <f>IF(ISNUMBER(NºAsuntos!I17/NºAsuntos!G17),(NºAsuntos!I17/NºAsuntos!G17)*11," - ")</f>
        <v>20.472222222222221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60</v>
      </c>
      <c r="F18" s="240">
        <f>IF(ISNUMBER(IF(D_I="SI",Datos!K18,Datos!K18+Datos!AE18)),IF(D_I="SI",Datos!K18,Datos!K18+Datos!AE18)," - ")</f>
        <v>74</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-0.60869565217391308</v>
      </c>
      <c r="L18" s="1402">
        <f>IF(ISNUMBER(NºAsuntos!I18/NºAsuntos!G18),(NºAsuntos!I18/NºAsuntos!G18)*11," - ")</f>
        <v>1.3378378378378379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1213</v>
      </c>
      <c r="D23" s="1407">
        <f>SUBTOTAL(9,D16:D22)</f>
        <v>1213</v>
      </c>
      <c r="E23" s="1408">
        <f>SUBTOTAL(9,E16:E22)</f>
        <v>827</v>
      </c>
      <c r="F23" s="1408">
        <f>SUBTOTAL(9,F16:F22)</f>
        <v>758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1213</v>
      </c>
      <c r="D31" s="1435">
        <f>SUBTOTAL(9,D9:D30)</f>
        <v>1213</v>
      </c>
      <c r="E31" s="1436">
        <f>SUBTOTAL(9,E9:E30)</f>
        <v>828</v>
      </c>
      <c r="F31" s="1436">
        <f>SUBTOTAL(9,F9:F30)</f>
        <v>759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rMIMh/HA1Do2A+WrqlrypmOgTRrK0BEGNh+p6bP0wOzZj9w9dCTlI+DsEJ1XTrngUXP8bNCq4SbWaYKnhTUkw==" saltValue="VbwEtM+eDmPbcGghLKna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zlq65T/pQ1e/TdMVxjzZnK1PFo2iUa86k6boY4nd4UoXewQSVTOE7AfmXBIE9Wn9uNTAM0AvhmwcwTnD5xnLw==" saltValue="ID7rmwI8f/m9M721D/9j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1</v>
      </c>
      <c r="R10" s="194">
        <v>2</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3035</v>
      </c>
      <c r="J12" s="196">
        <v>829</v>
      </c>
      <c r="K12" s="196">
        <v>850</v>
      </c>
      <c r="L12" s="196">
        <v>3014</v>
      </c>
      <c r="M12" s="196">
        <v>240</v>
      </c>
      <c r="N12" s="196">
        <v>303</v>
      </c>
      <c r="O12" s="194">
        <v>357</v>
      </c>
      <c r="P12" s="196">
        <v>215</v>
      </c>
      <c r="Q12" s="196">
        <v>635</v>
      </c>
      <c r="R12" s="196">
        <v>4992</v>
      </c>
      <c r="S12" s="196">
        <v>3559</v>
      </c>
      <c r="T12" s="196">
        <v>922</v>
      </c>
      <c r="U12" s="196">
        <v>865</v>
      </c>
      <c r="V12" s="196">
        <v>3615</v>
      </c>
      <c r="W12" s="196">
        <v>224</v>
      </c>
      <c r="X12" s="202">
        <v>417</v>
      </c>
      <c r="Y12" s="204">
        <v>80</v>
      </c>
      <c r="Z12" s="194">
        <v>88</v>
      </c>
      <c r="AA12" s="194">
        <v>88</v>
      </c>
      <c r="AB12" s="194">
        <v>80</v>
      </c>
      <c r="AC12" s="196">
        <v>0</v>
      </c>
      <c r="AD12" s="196">
        <v>0</v>
      </c>
      <c r="AE12" s="196">
        <v>0</v>
      </c>
      <c r="AF12" s="202">
        <v>0</v>
      </c>
      <c r="AG12" s="215">
        <v>132</v>
      </c>
      <c r="AH12" s="196">
        <v>73</v>
      </c>
      <c r="AI12" s="196">
        <v>86</v>
      </c>
      <c r="AJ12" s="216">
        <v>119</v>
      </c>
      <c r="AK12" s="195">
        <v>0</v>
      </c>
      <c r="AL12" s="196">
        <v>0</v>
      </c>
      <c r="AM12" s="196">
        <v>0</v>
      </c>
      <c r="AN12" s="202">
        <v>0</v>
      </c>
      <c r="AO12" s="283">
        <v>4</v>
      </c>
      <c r="AP12" s="168">
        <v>4</v>
      </c>
      <c r="AQ12" s="168">
        <v>4</v>
      </c>
      <c r="AR12" s="167">
        <v>4</v>
      </c>
      <c r="AS12" s="381" t="s">
        <v>1075</v>
      </c>
      <c r="AT12" s="216"/>
      <c r="AU12" s="215"/>
      <c r="AV12" s="216"/>
      <c r="AW12" s="215"/>
      <c r="AX12" s="216"/>
      <c r="AY12" s="136">
        <f t="shared" si="1"/>
        <v>3691</v>
      </c>
      <c r="AZ12" s="137">
        <f t="shared" si="1"/>
        <v>995</v>
      </c>
      <c r="BA12" s="137">
        <f t="shared" si="1"/>
        <v>951</v>
      </c>
      <c r="BB12" s="137">
        <f t="shared" si="1"/>
        <v>3734</v>
      </c>
      <c r="BC12" s="135">
        <f>IF(ISNUMBER(X12),X12," - ")</f>
        <v>417</v>
      </c>
      <c r="BD12" s="136">
        <f t="shared" si="2"/>
        <v>0.95577889447236186</v>
      </c>
      <c r="BE12" s="137">
        <f t="shared" si="3"/>
        <v>3.9263932702418507</v>
      </c>
      <c r="BF12" s="137">
        <f t="shared" si="4"/>
        <v>0.43848580441640378</v>
      </c>
      <c r="BG12" s="209">
        <f t="shared" si="5"/>
        <v>4.927444794952681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3035</v>
      </c>
      <c r="J14" s="197">
        <f t="shared" si="7"/>
        <v>830</v>
      </c>
      <c r="K14" s="197">
        <f t="shared" si="7"/>
        <v>851</v>
      </c>
      <c r="L14" s="197">
        <f t="shared" si="7"/>
        <v>3014</v>
      </c>
      <c r="M14" s="197">
        <f t="shared" si="7"/>
        <v>240</v>
      </c>
      <c r="N14" s="197">
        <f t="shared" si="7"/>
        <v>303</v>
      </c>
      <c r="O14" s="197">
        <f t="shared" si="7"/>
        <v>357</v>
      </c>
      <c r="P14" s="197">
        <f t="shared" si="7"/>
        <v>215</v>
      </c>
      <c r="Q14" s="197">
        <f t="shared" si="7"/>
        <v>636</v>
      </c>
      <c r="R14" s="197">
        <f t="shared" si="7"/>
        <v>4994</v>
      </c>
      <c r="S14" s="197">
        <f t="shared" si="7"/>
        <v>3559</v>
      </c>
      <c r="T14" s="197">
        <f t="shared" si="7"/>
        <v>923</v>
      </c>
      <c r="U14" s="197">
        <f t="shared" si="7"/>
        <v>866</v>
      </c>
      <c r="V14" s="197">
        <f t="shared" si="7"/>
        <v>3615</v>
      </c>
      <c r="W14" s="197">
        <f t="shared" si="7"/>
        <v>224</v>
      </c>
      <c r="X14" s="197">
        <f t="shared" si="7"/>
        <v>417</v>
      </c>
      <c r="Y14" s="197">
        <f t="shared" si="7"/>
        <v>80</v>
      </c>
      <c r="Z14" s="197">
        <f t="shared" si="7"/>
        <v>88</v>
      </c>
      <c r="AA14" s="197">
        <f t="shared" si="7"/>
        <v>88</v>
      </c>
      <c r="AB14" s="197">
        <f t="shared" si="7"/>
        <v>80</v>
      </c>
      <c r="AC14" s="197">
        <f t="shared" si="7"/>
        <v>0</v>
      </c>
      <c r="AD14" s="197">
        <f t="shared" si="7"/>
        <v>0</v>
      </c>
      <c r="AE14" s="197">
        <f t="shared" si="7"/>
        <v>0</v>
      </c>
      <c r="AF14" s="197">
        <f>SUBTOTAL(9,AF9:AF13)</f>
        <v>0</v>
      </c>
      <c r="AG14" s="197">
        <f t="shared" ref="AG14:AT14" si="8">SUBTOTAL(9,AG8:AG13)</f>
        <v>132</v>
      </c>
      <c r="AH14" s="197">
        <f t="shared" si="8"/>
        <v>73</v>
      </c>
      <c r="AI14" s="197">
        <f t="shared" si="8"/>
        <v>86</v>
      </c>
      <c r="AJ14" s="197">
        <f t="shared" si="8"/>
        <v>119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3691</v>
      </c>
      <c r="AZ14" s="197">
        <f>SUBTOTAL(9,AZ8:AZ13)</f>
        <v>996</v>
      </c>
      <c r="BA14" s="197">
        <f>SUBTOTAL(9,BA8:BA13)</f>
        <v>952</v>
      </c>
      <c r="BB14" s="197">
        <f>SUBTOTAL(9,BB8:BB13)</f>
        <v>3734</v>
      </c>
      <c r="BC14" s="197">
        <f>SUBTOTAL(9,BC8:BC13)</f>
        <v>417</v>
      </c>
      <c r="BD14" s="219">
        <f>IF(ISNUMBER(BA14/AZ14),BA14/AZ14," - ")</f>
        <v>0.95582329317269077</v>
      </c>
      <c r="BE14" s="220">
        <f>IF(ISNUMBER(BB14/BA14),BB14/BA14, " - ")</f>
        <v>3.922268907563025</v>
      </c>
      <c r="BF14" s="220">
        <f>IF(ISNUMBER(BC14/BA14),BC14/BA14, " - ")</f>
        <v>0.43802521008403361</v>
      </c>
      <c r="BG14" s="221">
        <f>IF(ISNUMBER((AY14+AZ14)/BA14),(AY14+AZ14)/BA14," - ")</f>
        <v>4.9233193277310923</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1190</v>
      </c>
      <c r="J17" s="196">
        <v>767</v>
      </c>
      <c r="K17" s="196">
        <v>684</v>
      </c>
      <c r="L17" s="196">
        <v>1273</v>
      </c>
      <c r="M17" s="196">
        <v>177</v>
      </c>
      <c r="N17" s="196">
        <v>376</v>
      </c>
      <c r="O17" s="194">
        <v>2</v>
      </c>
      <c r="P17" s="196">
        <v>12</v>
      </c>
      <c r="Q17" s="196">
        <v>20</v>
      </c>
      <c r="R17" s="196">
        <v>208</v>
      </c>
      <c r="S17" s="196">
        <v>1459</v>
      </c>
      <c r="T17" s="196">
        <v>901</v>
      </c>
      <c r="U17" s="196">
        <v>927</v>
      </c>
      <c r="V17" s="196">
        <v>1433</v>
      </c>
      <c r="W17" s="196">
        <v>144</v>
      </c>
      <c r="X17" s="202">
        <v>565</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1</v>
      </c>
      <c r="AO17" s="283">
        <v>4</v>
      </c>
      <c r="AP17" s="168">
        <v>4</v>
      </c>
      <c r="AQ17" s="168">
        <v>4</v>
      </c>
      <c r="AR17" s="168">
        <v>4</v>
      </c>
      <c r="AS17" s="381" t="s">
        <v>650</v>
      </c>
      <c r="AT17" s="216"/>
      <c r="AU17" s="215"/>
      <c r="AV17" s="216"/>
      <c r="AW17" s="215"/>
      <c r="AX17" s="216"/>
      <c r="AY17" s="136">
        <f t="shared" si="10"/>
        <v>1459</v>
      </c>
      <c r="AZ17" s="137">
        <f t="shared" si="10"/>
        <v>901</v>
      </c>
      <c r="BA17" s="137">
        <f t="shared" si="10"/>
        <v>927</v>
      </c>
      <c r="BB17" s="137">
        <f t="shared" si="10"/>
        <v>1433</v>
      </c>
      <c r="BC17" s="135">
        <f>IF(ISNUMBER(W17),W17," - ")</f>
        <v>144</v>
      </c>
      <c r="BD17" s="136">
        <f t="shared" ref="BD17:BD22" si="12">IF(ISNUMBER(BA17/AZ17),BA17/AZ17," - ")</f>
        <v>1.0288568257491675</v>
      </c>
      <c r="BE17" s="137">
        <f t="shared" ref="BE17:BE22" si="13">IF(ISNUMBER(BB17/BA17),BB17/BA17, " - ")</f>
        <v>1.5458468176914779</v>
      </c>
      <c r="BF17" s="137">
        <f t="shared" ref="BF17:BF22" si="14">IF(ISNUMBER(BC17/BA17),BC17/BA17, " - ")</f>
        <v>0.1553398058252427</v>
      </c>
      <c r="BG17" s="209">
        <f t="shared" si="11"/>
        <v>2.5458468176914777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60</v>
      </c>
      <c r="K18" s="196">
        <v>74</v>
      </c>
      <c r="L18" s="196">
        <v>9</v>
      </c>
      <c r="M18" s="196">
        <v>15</v>
      </c>
      <c r="N18" s="196">
        <v>51</v>
      </c>
      <c r="O18" s="196">
        <v>0</v>
      </c>
      <c r="P18" s="196">
        <v>0</v>
      </c>
      <c r="Q18" s="196">
        <v>0</v>
      </c>
      <c r="R18" s="196">
        <v>0</v>
      </c>
      <c r="S18" s="196">
        <v>43</v>
      </c>
      <c r="T18" s="196">
        <v>93</v>
      </c>
      <c r="U18" s="196">
        <v>93</v>
      </c>
      <c r="V18" s="196">
        <v>43</v>
      </c>
      <c r="W18" s="196">
        <v>25</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93</v>
      </c>
      <c r="BA18" s="139">
        <f t="shared" si="15"/>
        <v>93</v>
      </c>
      <c r="BB18" s="139">
        <f t="shared" si="15"/>
        <v>43</v>
      </c>
      <c r="BC18" s="135">
        <f>IF(ISNUMBER(W18),W18," - ")</f>
        <v>25</v>
      </c>
      <c r="BD18" s="136">
        <f>IF(ISNUMBER(BA18/AZ18),BA18/AZ18," - ")</f>
        <v>1</v>
      </c>
      <c r="BE18" s="137">
        <f>IF(ISNUMBER(BB18/BA18),BB18/BA18, " - ")</f>
        <v>0.46236559139784944</v>
      </c>
      <c r="BF18" s="137">
        <f>IF(ISNUMBER(BC18/BA18),BC18/BA18, " - ")</f>
        <v>0.26881720430107525</v>
      </c>
      <c r="BG18" s="209">
        <f>IF(ISNUMBER((AY18+AZ18)/BA18),(AY18+AZ18)/BA18," - ")</f>
        <v>1.4623655913978495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1213</v>
      </c>
      <c r="J23" s="197">
        <f t="shared" si="21"/>
        <v>827</v>
      </c>
      <c r="K23" s="197">
        <f t="shared" si="21"/>
        <v>758</v>
      </c>
      <c r="L23" s="197">
        <f t="shared" si="21"/>
        <v>1282</v>
      </c>
      <c r="M23" s="197">
        <f t="shared" si="21"/>
        <v>192</v>
      </c>
      <c r="N23" s="197">
        <f t="shared" si="21"/>
        <v>427</v>
      </c>
      <c r="O23" s="197">
        <f t="shared" si="21"/>
        <v>2</v>
      </c>
      <c r="P23" s="197">
        <f t="shared" si="21"/>
        <v>12</v>
      </c>
      <c r="Q23" s="197">
        <f t="shared" si="21"/>
        <v>20</v>
      </c>
      <c r="R23" s="197">
        <f t="shared" si="21"/>
        <v>208</v>
      </c>
      <c r="S23" s="197">
        <f t="shared" si="21"/>
        <v>1502</v>
      </c>
      <c r="T23" s="197">
        <f t="shared" si="21"/>
        <v>994</v>
      </c>
      <c r="U23" s="197">
        <f t="shared" si="21"/>
        <v>1020</v>
      </c>
      <c r="V23" s="197">
        <f t="shared" si="21"/>
        <v>1476</v>
      </c>
      <c r="W23" s="197">
        <f t="shared" si="21"/>
        <v>169</v>
      </c>
      <c r="X23" s="197">
        <f t="shared" si="21"/>
        <v>611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1502</v>
      </c>
      <c r="AZ23" s="197">
        <f>SUBTOTAL(9,AZ15:AZ22)</f>
        <v>994</v>
      </c>
      <c r="BA23" s="197">
        <f>SUBTOTAL(9,BA15:BA22)</f>
        <v>1020</v>
      </c>
      <c r="BB23" s="197">
        <f>SUBTOTAL(9,BB15:BB22)</f>
        <v>1476</v>
      </c>
      <c r="BC23" s="197">
        <f>SUBTOTAL(9,BC15:BC22)</f>
        <v>169</v>
      </c>
      <c r="BD23" s="219">
        <f>IF(ISNUMBER(BA23/AZ23),BA23/AZ23," - ")</f>
        <v>1.0261569416498995</v>
      </c>
      <c r="BE23" s="220">
        <f>IF(ISNUMBER(BB23/BA23),BB23/BA23, " - ")</f>
        <v>1.4470588235294117</v>
      </c>
      <c r="BF23" s="220">
        <f>IF(ISNUMBER(BC23/BA23),BC23/BA23, " - ")</f>
        <v>0.16568627450980392</v>
      </c>
      <c r="BG23" s="221">
        <f>IF(ISNUMBER((AY23+AZ23)/BA23),(AY23+AZ23)/BA23," - ")</f>
        <v>2.447058823529412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4248</v>
      </c>
      <c r="J31" s="144">
        <f t="shared" si="36"/>
        <v>1657</v>
      </c>
      <c r="K31" s="144">
        <f t="shared" si="36"/>
        <v>1609</v>
      </c>
      <c r="L31" s="144">
        <f t="shared" si="36"/>
        <v>4296</v>
      </c>
      <c r="M31" s="144">
        <f t="shared" si="36"/>
        <v>432</v>
      </c>
      <c r="N31" s="144">
        <f t="shared" si="36"/>
        <v>730</v>
      </c>
      <c r="O31" s="144">
        <f t="shared" si="36"/>
        <v>359</v>
      </c>
      <c r="P31" s="144">
        <f t="shared" si="36"/>
        <v>227</v>
      </c>
      <c r="Q31" s="144">
        <f t="shared" si="36"/>
        <v>656</v>
      </c>
      <c r="R31" s="144">
        <f t="shared" si="36"/>
        <v>5202</v>
      </c>
      <c r="S31" s="144">
        <f t="shared" si="36"/>
        <v>5061</v>
      </c>
      <c r="T31" s="144">
        <f t="shared" si="36"/>
        <v>1917</v>
      </c>
      <c r="U31" s="144">
        <f t="shared" si="36"/>
        <v>1886</v>
      </c>
      <c r="V31" s="144">
        <f t="shared" si="36"/>
        <v>5091</v>
      </c>
      <c r="W31" s="144">
        <f t="shared" si="36"/>
        <v>393</v>
      </c>
      <c r="X31" s="144">
        <f t="shared" si="36"/>
        <v>1028</v>
      </c>
      <c r="Y31" s="144">
        <f t="shared" si="36"/>
        <v>80</v>
      </c>
      <c r="Z31" s="144">
        <f t="shared" si="36"/>
        <v>88</v>
      </c>
      <c r="AA31" s="144">
        <f t="shared" si="36"/>
        <v>88</v>
      </c>
      <c r="AB31" s="144">
        <f t="shared" si="36"/>
        <v>80</v>
      </c>
      <c r="AC31" s="144">
        <f t="shared" si="36"/>
        <v>0</v>
      </c>
      <c r="AD31" s="144">
        <f t="shared" si="36"/>
        <v>0</v>
      </c>
      <c r="AE31" s="144">
        <f t="shared" si="36"/>
        <v>0</v>
      </c>
      <c r="AF31" s="144">
        <f t="shared" si="36"/>
        <v>0</v>
      </c>
      <c r="AG31" s="144">
        <f t="shared" si="36"/>
        <v>132</v>
      </c>
      <c r="AH31" s="144">
        <f t="shared" si="36"/>
        <v>73</v>
      </c>
      <c r="AI31" s="144">
        <f t="shared" si="36"/>
        <v>86</v>
      </c>
      <c r="AJ31" s="144">
        <f t="shared" si="36"/>
        <v>119</v>
      </c>
      <c r="AK31" s="144">
        <f t="shared" si="36"/>
        <v>1</v>
      </c>
      <c r="AL31" s="144">
        <f t="shared" si="36"/>
        <v>0</v>
      </c>
      <c r="AM31" s="144">
        <f t="shared" si="36"/>
        <v>0</v>
      </c>
      <c r="AN31" s="224">
        <f t="shared" si="36"/>
        <v>1</v>
      </c>
      <c r="AO31" s="225">
        <v>5</v>
      </c>
      <c r="AP31" s="225">
        <v>4</v>
      </c>
      <c r="AQ31" s="225">
        <v>4</v>
      </c>
      <c r="AR31" s="225">
        <v>4</v>
      </c>
      <c r="AS31" s="166">
        <f t="shared" si="36"/>
        <v>0</v>
      </c>
      <c r="AT31" s="166">
        <f t="shared" si="36"/>
        <v>0</v>
      </c>
      <c r="AU31" s="225"/>
      <c r="AV31" s="226"/>
      <c r="AW31" s="225"/>
      <c r="AX31" s="226"/>
      <c r="AY31" s="143">
        <f>SUBTOTAL(9,AY9:AY30)</f>
        <v>5193</v>
      </c>
      <c r="AZ31" s="144">
        <f>SUBTOTAL(9,AZ9:AZ30)</f>
        <v>1990</v>
      </c>
      <c r="BA31" s="144">
        <f>SUBTOTAL(9,BA9:BA30)</f>
        <v>1972</v>
      </c>
      <c r="BB31" s="144">
        <f>SUBTOTAL(9,BB9:BB30)</f>
        <v>5210</v>
      </c>
      <c r="BC31" s="145">
        <f>SUBTOTAL(9,BC9:BC30)</f>
        <v>586</v>
      </c>
      <c r="BD31" s="227">
        <f>IF(ISNUMBER(BA31/AZ31),BA31/AZ31," - ")</f>
        <v>0.99095477386934672</v>
      </c>
      <c r="BE31" s="224">
        <f>IF(ISNUMBER(BB31/BA31),BB31/BA31, " - ")</f>
        <v>2.6419878296146044</v>
      </c>
      <c r="BF31" s="224">
        <f>IF(ISNUMBER(BC31/BA31),BC31/BA31, " - ")</f>
        <v>0.29716024340770791</v>
      </c>
      <c r="BG31" s="145">
        <f>IF(ISNUMBER((AY31+AZ31)/BA31),(AY31+AZ31)/BA31," - ")</f>
        <v>3.6424949290060851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1/GXYm2PEiLJnJqXBvNNo0GbHVLzyOgQoji6Dnnvcu5zxQX2AAnytActx+FxukYljIvDW62MBMvv/DNOr6LQ==" saltValue="t87F6MkHpc2Y0BVgef0q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gxex8vQo6xGNH6hiYWaUe6Y1XNWKEJeegB1mt2cI7Si/W2CEOweROT0GUAHendSJYJMoo7DRexZsJhEvL69Ng==" saltValue="I5EzZiGGymyL+IL7UlP/0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UTRERA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1</v>
      </c>
      <c r="AD10" s="549"/>
      <c r="AE10" s="563"/>
      <c r="AF10" s="551">
        <f>IF(ISNUMBER(Datos!L10),Datos!L10,"-")</f>
        <v>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215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80</v>
      </c>
      <c r="AI12" s="549" t="str">
        <f>IF(ISNUMBER(Datos!CD12),Datos!CD12,"-")</f>
        <v>-</v>
      </c>
      <c r="AJ12" s="549" t="str">
        <f>IF(ISNUMBER(Datos!EN12),Datos!EN12," - ")</f>
        <v xml:space="preserve"> - </v>
      </c>
      <c r="AK12" s="549"/>
      <c r="AL12" s="550"/>
      <c r="AM12" s="766">
        <f>IF(ISNUMBER(Datos!R12),Datos!R12," - ")</f>
        <v>4992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240</v>
      </c>
      <c r="BD12" s="693">
        <f>IF(ISNUMBER(Datos!N12),Datos!N12," - ")</f>
        <v>303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1.0229007633587786</v>
      </c>
      <c r="BH12" s="764">
        <f>IF(ISNUMBER(((IF(J_V="SI",Datos!L12/Datos!K12,(Datos!L12+Datos!AB12)/(Datos!K12+Datos!AA12)))*11)/factor_trimestre),((IF(J_V="SI",Datos!L12/Datos!K12,(Datos!L12+Datos!AB12)/(Datos!K12+Datos!AA12)))*11)/factor_trimestre," - ")</f>
        <v>9.8955223880597014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-7.7605321507760533E-2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215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636</v>
      </c>
      <c r="AD14" s="1198">
        <f t="shared" si="2"/>
        <v>0</v>
      </c>
      <c r="AE14" s="1198">
        <f t="shared" si="2"/>
        <v>0</v>
      </c>
      <c r="AF14" s="1198">
        <f t="shared" si="2"/>
        <v>0</v>
      </c>
      <c r="AG14" s="1198">
        <f t="shared" si="2"/>
        <v>0</v>
      </c>
      <c r="AH14" s="1198">
        <f t="shared" si="2"/>
        <v>80</v>
      </c>
      <c r="AI14" s="1198">
        <f t="shared" si="2"/>
        <v>0</v>
      </c>
      <c r="AJ14" s="1198">
        <f t="shared" si="2"/>
        <v>0</v>
      </c>
      <c r="AK14" s="1198">
        <f t="shared" si="2"/>
        <v>0</v>
      </c>
      <c r="AL14" s="1198">
        <f t="shared" si="2"/>
        <v>0</v>
      </c>
      <c r="AM14" s="1198">
        <f t="shared" si="2"/>
        <v>4994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240</v>
      </c>
      <c r="BD14" s="1198">
        <f t="shared" si="2"/>
        <v>303</v>
      </c>
      <c r="BE14" s="1198">
        <f t="shared" si="2"/>
        <v>0</v>
      </c>
      <c r="BF14" s="1198">
        <f t="shared" si="2"/>
        <v>0</v>
      </c>
      <c r="BG14" s="1198">
        <f>IF(ISNUMBER(Datos!K14/Datos!J14),Datos!K14/Datos!J14," - ")</f>
        <v>1.0253012048192771</v>
      </c>
      <c r="BH14" s="1202">
        <f>IF(ISNUMBER(((Datos!L14/Datos!K14)*11)/factor_trimestre),((Datos!L14/Datos!K14)*11)/factor_trimestre," - ")</f>
        <v>10.62514688601645</v>
      </c>
      <c r="BI14" s="1198">
        <f>IF(ISNUMBER('Resol  Asuntos'!D14/NºAsuntos!G14),'Resol  Asuntos'!D14/NºAsuntos!G14," - ")</f>
        <v>0.25559105431309903</v>
      </c>
      <c r="BJ14" s="1198" t="str">
        <f>IF(ISNUMBER(Datos!CI14/Datos!CJ14),Datos!CI14/Datos!CJ14," - ")</f>
        <v xml:space="preserve"> - </v>
      </c>
      <c r="BK14" s="1198">
        <f>SUBTOTAL(9,BK8:BK13)</f>
        <v>0</v>
      </c>
      <c r="BL14" s="1198" t="str">
        <f>IF(ISNUMBER((I14-AB14+L14)/(F14)),(I14-AB14+L14)/(F14)," - ")</f>
        <v xml:space="preserve"> - </v>
      </c>
      <c r="BM14" s="1203">
        <f>SUBTOTAL(9,BM9:BM13)</f>
        <v>-0.41093865484109382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1190</v>
      </c>
      <c r="G17" s="743">
        <f>IF(ISNUMBER(IF(D_I="SI",Datos!I17,Datos!I17+Datos!AC17)),IF(D_I="SI",Datos!I17,Datos!I17+Datos!AC17)," - ")</f>
        <v>1190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684</v>
      </c>
      <c r="AC17" s="240">
        <f>IF(ISNUMBER(Datos!Q17),Datos!Q17," - ")</f>
        <v>20</v>
      </c>
      <c r="AD17" s="374"/>
      <c r="AE17" s="562"/>
      <c r="AF17" s="741">
        <f>IF(ISNUMBER(IF(D_I="SI",Datos!L17,Datos!L17+Datos!AF17)),IF(D_I="SI",Datos!L17,Datos!L17+Datos!AF17)," - ")</f>
        <v>1273</v>
      </c>
      <c r="AG17" s="374"/>
      <c r="AH17" s="374"/>
      <c r="AI17" s="374"/>
      <c r="AJ17" s="549"/>
      <c r="AK17" s="374"/>
      <c r="AL17" s="545"/>
      <c r="AM17" s="375">
        <f>IF(ISNUMBER(Datos!R17),Datos!R17," - ")</f>
        <v>208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177</v>
      </c>
      <c r="BD17" s="243">
        <f>IF(ISNUMBER(Datos!N17),Datos!N17," - ")</f>
        <v>376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0.89178617992177311</v>
      </c>
      <c r="BH17" s="764">
        <f>IF(ISNUMBER(((IF(D_I="SI",Datos!L17/Datos!K17,(Datos!L17+Datos!AF17)/(Datos!K17+Datos!AE17)))*11)/factor_trimestre),((IF(D_I="SI",Datos!L17/Datos!K17,(Datos!L17+Datos!AF17)/(Datos!K17+Datos!AE17)))*11)/factor_trimestre," - ")</f>
        <v>5.583333333333333</v>
      </c>
      <c r="BI17" s="266">
        <f>IF(ISNUMBER('Resol  Asuntos'!D17/NºAsuntos!G17),'Resol  Asuntos'!D17/NºAsuntos!G17," - ")</f>
        <v>0.25877192982456143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1.2333333333333334</v>
      </c>
      <c r="BH18" s="764">
        <f>IF(ISNUMBER(((IF(D_I="SI",Datos!L18/Datos!K18,(Datos!L18+Datos!AF18)/(Datos!K18+Datos!AE18)))*11)/factor_trimestre),((IF(D_I="SI",Datos!L18/Datos!K18,(Datos!L18+Datos!AF18)/(Datos!K18+Datos!AE18)))*11)/factor_trimestre," - ")</f>
        <v>0.36486486486486491</v>
      </c>
      <c r="BI18" s="763">
        <f>IF(ISNUMBER('Resol  Asuntos'!D18/NºAsuntos!G18),'Resol  Asuntos'!D18/NºAsuntos!G18," - ")</f>
        <v>0.20270270270270271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1190</v>
      </c>
      <c r="G23" s="1197">
        <f>SUBTOTAL(9,G16:G22)</f>
        <v>1213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758</v>
      </c>
      <c r="AC23" s="1198">
        <f t="shared" si="5"/>
        <v>20</v>
      </c>
      <c r="AD23" s="1198">
        <f t="shared" si="5"/>
        <v>0</v>
      </c>
      <c r="AE23" s="1198">
        <f t="shared" si="5"/>
        <v>0</v>
      </c>
      <c r="AF23" s="1198">
        <f t="shared" si="5"/>
        <v>1282</v>
      </c>
      <c r="AG23" s="1198">
        <f t="shared" si="5"/>
        <v>0</v>
      </c>
      <c r="AH23" s="1198">
        <f t="shared" si="5"/>
        <v>0</v>
      </c>
      <c r="AI23" s="1198">
        <f t="shared" si="5"/>
        <v>0</v>
      </c>
      <c r="AJ23" s="1198">
        <f t="shared" si="5"/>
        <v>0</v>
      </c>
      <c r="AK23" s="1198">
        <f t="shared" si="5"/>
        <v>0</v>
      </c>
      <c r="AL23" s="1198">
        <f t="shared" si="5"/>
        <v>0</v>
      </c>
      <c r="AM23" s="1198">
        <f t="shared" si="5"/>
        <v>208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192</v>
      </c>
      <c r="BD23" s="1198">
        <f t="shared" si="5"/>
        <v>427</v>
      </c>
      <c r="BE23" s="1198">
        <f t="shared" si="5"/>
        <v>0</v>
      </c>
      <c r="BF23" s="1198">
        <f t="shared" si="5"/>
        <v>0</v>
      </c>
      <c r="BG23" s="1198">
        <f>IF(ISNUMBER(Datos!K23/Datos!J23),Datos!K23/Datos!J23," - ")</f>
        <v>0.91656590084643286</v>
      </c>
      <c r="BH23" s="1202">
        <f>IF(ISNUMBER(((Datos!L23/Datos!K23)*11)/factor_trimestre),((Datos!L23/Datos!K23)*11)/factor_trimestre," - ")</f>
        <v>5.0738786279683383</v>
      </c>
      <c r="BI23" s="1198">
        <f>SUBTOTAL(9,BI16:BI22)</f>
        <v>0.46147463252726417</v>
      </c>
      <c r="BJ23" s="1198">
        <f>SUBTOTAL(9,BJ16:BJ22)</f>
        <v>0</v>
      </c>
      <c r="BK23" s="1198">
        <f>SUBTOTAL(9,BK16:BK22)</f>
        <v>0</v>
      </c>
      <c r="BL23" s="1198">
        <f>IF(ISNUMBER((I23-AB23+L23)/(F23)),(I23-AB23+L23)/(F23)," - ")</f>
        <v>-0.63697478991596634</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1190</v>
      </c>
      <c r="G31" s="1117">
        <f t="shared" si="18"/>
        <v>1213</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227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759</v>
      </c>
      <c r="AC31" s="1118">
        <f t="shared" si="19"/>
        <v>656</v>
      </c>
      <c r="AD31" s="1118">
        <f t="shared" si="19"/>
        <v>0</v>
      </c>
      <c r="AE31" s="1118">
        <f t="shared" si="19"/>
        <v>0</v>
      </c>
      <c r="AF31" s="1125">
        <f t="shared" si="19"/>
        <v>1282</v>
      </c>
      <c r="AG31" s="1125">
        <f t="shared" si="19"/>
        <v>0</v>
      </c>
      <c r="AH31" s="1125">
        <f t="shared" si="19"/>
        <v>80</v>
      </c>
      <c r="AI31" s="1125">
        <f t="shared" si="19"/>
        <v>0</v>
      </c>
      <c r="AJ31" s="1118">
        <f t="shared" si="19"/>
        <v>0</v>
      </c>
      <c r="AK31" s="1125">
        <f t="shared" si="19"/>
        <v>0</v>
      </c>
      <c r="AL31" s="1125">
        <f t="shared" si="19"/>
        <v>0</v>
      </c>
      <c r="AM31" s="1125">
        <f t="shared" si="19"/>
        <v>5202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432</v>
      </c>
      <c r="BD31" s="1117">
        <f t="shared" si="19"/>
        <v>730</v>
      </c>
      <c r="BE31" s="1117">
        <f t="shared" si="19"/>
        <v>0</v>
      </c>
      <c r="BF31" s="1127">
        <f t="shared" si="19"/>
        <v>0</v>
      </c>
      <c r="BG31" s="1223">
        <f>IF(ISNUMBER(Datos!K31/Datos!J31),Datos!K31/Datos!J31," - ")</f>
        <v>0.97103198551599279</v>
      </c>
      <c r="BH31" s="1223">
        <f>IF(ISNUMBER(((Datos!L31/Datos!K31)*11)/factor_trimestre),((Datos!L31/Datos!K31)*11)/factor_trimestre," - ")</f>
        <v>8.0099440646364215</v>
      </c>
      <c r="BI31" s="1103">
        <f>IF(ISNUMBER(Datos!J31/Datos!I31),Datos!J31/Datos!I31," - ")</f>
        <v>0.39006591337099811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-0.63781512605042012</v>
      </c>
      <c r="BM31" s="1188">
        <f>IF(ISNUMBER((Datos!P31-Datos!Q31+R31)/(Datos!R31-Datos!P31+Datos!Q31-R31)),(Datos!P31-Datos!Q31+R31)/(Datos!R31-Datos!P31+Datos!Q31-R31)," - ")</f>
        <v>-7.6185402237613206E-2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614.51335759824349</v>
      </c>
      <c r="G33" s="674">
        <f>IF(ISNUMBER(STDEV(G8:G30)),STDEV(G8:G30),"-")</f>
        <v>584.12551651817012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346.09942144391044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113.58194021435425</v>
      </c>
      <c r="BD33" s="673"/>
      <c r="BE33" s="673">
        <f>IF(ISNUMBER(STDEV(BE8:BE30)),STDEV(BE8:BE30),"-")</f>
        <v>0</v>
      </c>
      <c r="BF33" s="678">
        <f>IF(ISNUMBER(STDEV(BF8:BF30)),STDEV(BF8:BF30),"-")</f>
        <v>0</v>
      </c>
      <c r="BG33" s="1052">
        <f>IF(ISNUMBER(STDEV(BG8:BG30)),STDEV(BG8:BG30),"-")</f>
        <v>0.12077573973896924</v>
      </c>
      <c r="BH33" s="1058">
        <f>IF(ISNUMBER(STDEV(BH8:BH30)),STDEV(BH8:BH30),"-")</f>
        <v>4.5175646736569135</v>
      </c>
      <c r="BI33" s="273">
        <f>IF(ISNUMBER(STDEV(BI8:BI30)),STDEV(BI8:BI30),"-")</f>
        <v>0.11416012112434555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oAF5yj0mcNwYg2T88Fede1ybW/5Icv839OgN/+pIUJ/DM9kfMISqiYc0mmiFuFtd1C/B35ioi7i47JOcVFAJQ==" saltValue="b6pgBGzFZCZZ4/rwIv3R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UTRERA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1</v>
      </c>
      <c r="AA10" s="551">
        <f>IF(ISNUMBER(Datos!L10),Datos!L10,"-")</f>
        <v>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635</v>
      </c>
      <c r="AA12" s="551" t="str">
        <f>IF(ISNUMBER(IF(J_V="SI",Datos!L12,Datos!L12+Datos!AB12)-IF(Monitorios="SI",Datos!CD12,0)),
                          IF(J_V="SI",Datos!L12,Datos!L12+Datos!AB12)-IF(Monitorios="SI",Datos!CD12,0),
                          " - ")</f>
        <v xml:space="preserve"> - </v>
      </c>
      <c r="AB12" s="549"/>
      <c r="AC12" s="549"/>
      <c r="AD12" s="563"/>
      <c r="AE12" s="563">
        <f>IF(ISNUMBER(Datos!R12),Datos!R12," - ")</f>
        <v>4992</v>
      </c>
      <c r="AF12" s="693" t="str">
        <f>IF(ISNUMBER(Datos!BV12),Datos!BV12," - ")</f>
        <v xml:space="preserve"> - </v>
      </c>
      <c r="AG12" s="552" t="str">
        <f>IF(ISNUMBER(Datos!DV12),Datos!DV12," - ")</f>
        <v xml:space="preserve"> - </v>
      </c>
      <c r="AH12" s="553"/>
      <c r="AI12" s="554"/>
      <c r="AJ12" s="552">
        <f>IF(ISNUMBER(Datos!M12),Datos!M12," - ")</f>
        <v>240</v>
      </c>
      <c r="AK12" s="693">
        <f>IF(ISNUMBER(Datos!N12),Datos!N12," - ")</f>
        <v>303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9.8955223880597014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-7.7605321507760533E-2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636</v>
      </c>
      <c r="AA14" s="1199">
        <f t="shared" si="3"/>
        <v>0</v>
      </c>
      <c r="AB14" s="1199">
        <f t="shared" si="3"/>
        <v>0</v>
      </c>
      <c r="AC14" s="1199">
        <f t="shared" si="3"/>
        <v>0</v>
      </c>
      <c r="AD14" s="1199">
        <f t="shared" si="3"/>
        <v>0</v>
      </c>
      <c r="AE14" s="1199">
        <f t="shared" si="3"/>
        <v>4994</v>
      </c>
      <c r="AF14" s="1211">
        <f t="shared" si="3"/>
        <v>0</v>
      </c>
      <c r="AG14" s="1211">
        <f t="shared" si="3"/>
        <v>0</v>
      </c>
      <c r="AH14" s="1211">
        <f t="shared" si="3"/>
        <v>0</v>
      </c>
      <c r="AI14" s="1211">
        <f t="shared" si="3"/>
        <v>0</v>
      </c>
      <c r="AJ14" s="1211">
        <f t="shared" si="3"/>
        <v>240</v>
      </c>
      <c r="AK14" s="1211">
        <f t="shared" si="3"/>
        <v>303</v>
      </c>
      <c r="AL14" s="1211">
        <f t="shared" si="3"/>
        <v>0</v>
      </c>
      <c r="AM14" s="1211">
        <f t="shared" si="3"/>
        <v>0</v>
      </c>
      <c r="AN14" s="1211">
        <f t="shared" si="3"/>
        <v>0</v>
      </c>
      <c r="AO14" s="1203">
        <f>IF(ISNUMBER(((NºAsuntos!I14/NºAsuntos!G14)*11)/factor_trimestre),((NºAsuntos!I14/NºAsuntos!G14)*11)/factor_trimestre," - ")</f>
        <v>9.8849840255591044</v>
      </c>
      <c r="AP14" s="1213" t="str">
        <f>IF(ISNUMBER(Datos!CI14/Datos!CJ14),Datos!CI14/Datos!CJ14," - ")</f>
        <v xml:space="preserve"> - </v>
      </c>
      <c r="AQ14" s="1236">
        <f t="shared" ref="AQ14:AV14" si="4">SUBTOTAL(9,AQ9:AQ13)</f>
        <v>0</v>
      </c>
      <c r="AR14" s="1236">
        <f t="shared" si="4"/>
        <v>-0.41093865484109382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1190</v>
      </c>
      <c r="G17" s="552">
        <f>IF(ISNUMBER(IF(D_I="SI",Datos!I17,Datos!I17+Datos!AC17)),IF(D_I="SI",Datos!I17,Datos!I17+Datos!AC17)," - ")</f>
        <v>1190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684</v>
      </c>
      <c r="Z17" s="805">
        <f>IF(ISNUMBER(Datos!Q17),Datos!Q17," - ")</f>
        <v>20</v>
      </c>
      <c r="AA17" s="551">
        <f>IF(ISNUMBER(IF(D_I="SI",Datos!L17,Datos!L17+Datos!AF17)),IF(D_I="SI",Datos!L17,Datos!L17+Datos!AF17)," - ")</f>
        <v>1273</v>
      </c>
      <c r="AB17" s="549"/>
      <c r="AC17" s="549"/>
      <c r="AD17" s="563"/>
      <c r="AE17" s="563">
        <f>IF(ISNUMBER(Datos!R17),Datos!R17," - ")</f>
        <v>208</v>
      </c>
      <c r="AF17" s="693" t="str">
        <f>IF(ISNUMBER(Datos!BV17),Datos!BV17," - ")</f>
        <v xml:space="preserve"> - </v>
      </c>
      <c r="AG17" s="552"/>
      <c r="AH17" s="553"/>
      <c r="AI17" s="554"/>
      <c r="AJ17" s="552">
        <f>IF(ISNUMBER(Datos!M17),Datos!M17," - ")</f>
        <v>177</v>
      </c>
      <c r="AK17" s="693">
        <f>IF(ISNUMBER(Datos!N17),Datos!N17," - ")</f>
        <v>376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5.583333333333333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0.36486486486486491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1190</v>
      </c>
      <c r="G23" s="1197">
        <f>SUBTOTAL(9,G16:G22)</f>
        <v>1213</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758</v>
      </c>
      <c r="Z23" s="1240">
        <f t="shared" si="6"/>
        <v>20</v>
      </c>
      <c r="AA23" s="1240">
        <f t="shared" si="6"/>
        <v>1282</v>
      </c>
      <c r="AB23" s="1240">
        <f t="shared" si="6"/>
        <v>0</v>
      </c>
      <c r="AC23" s="1240">
        <f t="shared" si="6"/>
        <v>0</v>
      </c>
      <c r="AD23" s="1240">
        <f t="shared" si="6"/>
        <v>0</v>
      </c>
      <c r="AE23" s="1240">
        <f t="shared" si="6"/>
        <v>208</v>
      </c>
      <c r="AF23" s="1240">
        <f t="shared" si="6"/>
        <v>0</v>
      </c>
      <c r="AG23" s="1240">
        <f t="shared" si="6"/>
        <v>0</v>
      </c>
      <c r="AH23" s="1240">
        <f t="shared" si="6"/>
        <v>0</v>
      </c>
      <c r="AI23" s="1240">
        <f t="shared" si="6"/>
        <v>0</v>
      </c>
      <c r="AJ23" s="1240">
        <f t="shared" si="6"/>
        <v>192</v>
      </c>
      <c r="AK23" s="1240">
        <f t="shared" si="6"/>
        <v>427</v>
      </c>
      <c r="AL23" s="1240">
        <f t="shared" si="6"/>
        <v>0</v>
      </c>
      <c r="AM23" s="1240">
        <f t="shared" si="6"/>
        <v>0</v>
      </c>
      <c r="AN23" s="1240">
        <f t="shared" si="6"/>
        <v>0</v>
      </c>
      <c r="AO23" s="1242">
        <f>IF(ISNUMBER(((NºAsuntos!I23/NºAsuntos!G23)*11)/factor_trimestre),((NºAsuntos!I23/NºAsuntos!G23)*11)/factor_trimestre," - ")</f>
        <v>5.0738786279683383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1190</v>
      </c>
      <c r="G31" s="1117">
        <f t="shared" si="12"/>
        <v>1213</v>
      </c>
      <c r="H31" s="1118">
        <f t="shared" si="12"/>
        <v>0</v>
      </c>
      <c r="I31" s="1117">
        <f t="shared" si="12"/>
        <v>0</v>
      </c>
      <c r="J31" s="1119">
        <f t="shared" si="12"/>
        <v>0</v>
      </c>
      <c r="K31" s="1117">
        <f t="shared" si="12"/>
        <v>0</v>
      </c>
      <c r="L31" s="1120">
        <f t="shared" si="12"/>
        <v>0</v>
      </c>
      <c r="M31" s="1117">
        <f t="shared" si="12"/>
        <v>0</v>
      </c>
      <c r="N31" s="1118">
        <f t="shared" si="12"/>
        <v>227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759</v>
      </c>
      <c r="Z31" s="1124">
        <f t="shared" si="13"/>
        <v>656</v>
      </c>
      <c r="AA31" s="1125">
        <f t="shared" si="13"/>
        <v>1282</v>
      </c>
      <c r="AB31" s="1125">
        <f t="shared" si="13"/>
        <v>0</v>
      </c>
      <c r="AC31" s="1125">
        <f t="shared" si="13"/>
        <v>0</v>
      </c>
      <c r="AD31" s="1126">
        <f t="shared" si="13"/>
        <v>0</v>
      </c>
      <c r="AE31" s="1126">
        <f t="shared" si="13"/>
        <v>5202</v>
      </c>
      <c r="AF31" s="1127">
        <f t="shared" si="13"/>
        <v>0</v>
      </c>
      <c r="AG31" s="1128">
        <f t="shared" si="13"/>
        <v>0</v>
      </c>
      <c r="AH31" s="1129">
        <f t="shared" si="13"/>
        <v>0</v>
      </c>
      <c r="AI31" s="1127">
        <f t="shared" si="13"/>
        <v>0</v>
      </c>
      <c r="AJ31" s="1117">
        <f t="shared" si="13"/>
        <v>432</v>
      </c>
      <c r="AK31" s="1117">
        <f t="shared" si="13"/>
        <v>730</v>
      </c>
      <c r="AL31" s="1117">
        <f t="shared" si="13"/>
        <v>0</v>
      </c>
      <c r="AM31" s="1130">
        <f t="shared" si="13"/>
        <v>0</v>
      </c>
      <c r="AN31" s="1120">
        <f>IF(ISNUMBER(Datos!K31/Datos!J31),Datos!K31/Datos!J31," - ")</f>
        <v>0.97103198551599279</v>
      </c>
      <c r="AO31" s="1120">
        <f>IF(ISNUMBER(FIND("06",Criterios!A8,1)),(IF(ISNUMBER(((Datos!R31/Datos!Q31)*11)/factor_trimestre),((Datos!R31/Datos!Q31)*11)/factor_trimestre," - ")),(IF(ISNUMBER(((Datos!L31/Datos!K31)*11)/factor_trimestre),((Datos!L31/Datos!K31)*11)/factor_trimestre," - ")))</f>
        <v>8.0099440646364215</v>
      </c>
      <c r="AP31" s="1131" t="str">
        <f>IF(ISNUMBER(Datos!CI31/Datos!CJ31),Datos!CI31/Datos!CJ31," - ")</f>
        <v xml:space="preserve"> - </v>
      </c>
      <c r="AQ31" s="1131">
        <f>IF(OR(ISNUMBER(FIND("01",Criterios!A8,1)),ISNUMBER(FIND("02",Criterios!A8,1)),ISNUMBER(FIND("03",Criterios!A8,1)),ISNUMBER(FIND("04",Criterios!A8,1))),(J31-Y31+K31)/(F31-K31),(I31-Y31+K31)/(F31-K31))</f>
        <v>-0.63781512605042012</v>
      </c>
      <c r="AR31" s="1131">
        <f>IF(ISNUMBER((Datos!P31-Datos!Q31+O31)/(Datos!R31-Datos!P31+Datos!Q31-O31)),(Datos!P31-Datos!Q31+O31)/(Datos!R31-Datos!P31+Datos!Q31-O31)," - ")</f>
        <v>-7.6185402237613206E-2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614.51335759824349</v>
      </c>
      <c r="G33" s="674">
        <f>IF(ISNUMBER(STDEV(G8:G30)),STDEV(G8:G30),"-")</f>
        <v>584.12551651817012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113.58194021435425</v>
      </c>
      <c r="AK33" s="276"/>
      <c r="AL33" s="276">
        <f>IF(ISNUMBER(STDEV(AL8:AL30)),STDEV(AL8:AL30),"-")</f>
        <v>0</v>
      </c>
      <c r="AM33" s="278">
        <f>IF(ISNUMBER(STDEV(AM8:AM30)),STDEV(AM8:AM30),"-")</f>
        <v>0</v>
      </c>
      <c r="AN33" s="660">
        <f>IF(ISNUMBER(STDEV(AN8:AN30)),STDEV(AN8:AN30),"-")</f>
        <v>0</v>
      </c>
      <c r="AO33" s="661">
        <f>IF(ISNUMBER(STDEV(AO8:AO30)),STDEV(AO8:AO30),"-")</f>
        <v>4.3486104743832028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ZYhXpuzZQpYYdYpzl6N1d4BXufqtH4c/IkNfKR2UG+MyMGZIA3Eo6mNGb7rKmdq+VRQ+jPZdK3zert538WKSw==" saltValue="cubvcg8i1056o+0mLVIB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9C03oQip5vZkogeVOcwV1skz66bb6S1HTSqXgpkKNa/d1OeVhWIG6ZbZzm2GMrFZLTw96is2h0Tldc2GOtjqw==" saltValue="B6LVlhECp7QwmVk4IM3C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VW0o9JQMV6U6hUMeZnGwcjiTWs12tCvyZhIB+3m5wyfsf1zs4mcQiSBO5IimzszdnoKkyE78cJ89BSCgf6eA==" saltValue="8XOqIeFRaIjbFDyoWy4l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UTRERA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0.25559105431309903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0.1807301677154115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nSgwx89t6AZyWd9iGcZSQkIERUPrC4yuhnng3rZCNYSTxF71LePeklhlRm8BTft5c9AJPCjQ2iYSKXgKC8ptQ==" saltValue="BWoNoXChROGmhh6SrtGz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yQAfHDgTlJ2Vxs9bxlzezSlz1er1S2WuunMVW+MSYIHvivXf9LeAF00NEz/jH9vSugvKA0mbfxIIOhthsIfFg==" saltValue="0Eb0a9eq/3Yn1LoSvtCj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UTRERA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3115</v>
      </c>
      <c r="D12" s="452">
        <f>IF(ISNUMBER(C12/Datos!BH12),C12/Datos!BH12," - ")</f>
        <v>778.75</v>
      </c>
      <c r="E12" s="451">
        <f>IF(ISNUMBER(IF(J_V="SI",Datos!J12,Datos!J12+Datos!Z12)),IF(J_V="SI",Datos!J12,Datos!J12+Datos!Z12)," - ")</f>
        <v>917</v>
      </c>
      <c r="F12" s="452">
        <f>IF(ISNUMBER(E12/B12),E12/B12," - ")</f>
        <v>229.25</v>
      </c>
      <c r="G12" s="451">
        <f>IF(ISNUMBER(IF(J_V="SI",Datos!K12,Datos!K12+Datos!AA12)),IF(J_V="SI",Datos!K12,Datos!K12+Datos!AA12)," - ")</f>
        <v>938</v>
      </c>
      <c r="H12" s="452">
        <f>IF(ISNUMBER(G12/B12),G12/B12," - ")</f>
        <v>234.5</v>
      </c>
      <c r="I12" s="451">
        <f>IF(ISNUMBER(IF(J_V="SI",Datos!L12,Datos!L12+Datos!AB12)),IF(J_V="SI",Datos!L12,Datos!L12+Datos!AB12)," - ")</f>
        <v>3094</v>
      </c>
      <c r="J12" s="452">
        <f>IF(ISNUMBER(I12/B12),I12/B12," - ")</f>
        <v>773.5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3115</v>
      </c>
      <c r="D14" s="1147" t="str">
        <f>IF(ISNUMBER(C14/Datos!BI14),C14/Datos!BI14," - ")</f>
        <v xml:space="preserve"> - </v>
      </c>
      <c r="E14" s="1146">
        <f>SUBTOTAL(9,E8:E13)</f>
        <v>918</v>
      </c>
      <c r="F14" s="1147">
        <f>IF(ISNUMBER(E14/B14),E14/B14," - ")</f>
        <v>229.5</v>
      </c>
      <c r="G14" s="1146">
        <f>SUBTOTAL(9,G8:G13)</f>
        <v>939</v>
      </c>
      <c r="H14" s="1147">
        <f>IF(ISNUMBER(G14/B14),G14/B14," - ")</f>
        <v>234.75</v>
      </c>
      <c r="I14" s="1146">
        <f>SUBTOTAL(9,I8:I13)</f>
        <v>3094</v>
      </c>
      <c r="J14" s="1147">
        <f>IF(ISNUMBER(I14/B14),I14/B14," - ")</f>
        <v>773.5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1190</v>
      </c>
      <c r="D17" s="452">
        <f>IF(ISNUMBER(C17/Datos!BH17),C17/Datos!BH17," - ")</f>
        <v>297.5</v>
      </c>
      <c r="E17" s="451">
        <f>IF(ISNUMBER(IF(D_I="SI",Datos!J17,Datos!J17+Datos!AD17)),IF(D_I="SI",Datos!J17,Datos!J17+Datos!AD17)," - ")</f>
        <v>767</v>
      </c>
      <c r="F17" s="452">
        <f>IF(ISNUMBER(E17/B17),E17/B17," - ")</f>
        <v>191.75</v>
      </c>
      <c r="G17" s="451">
        <f>IF(ISNUMBER(IF(D_I="SI",Datos!K17,Datos!K17+Datos!AE17)),IF(D_I="SI",Datos!K17,Datos!K17+Datos!AE17)," - ")</f>
        <v>684</v>
      </c>
      <c r="H17" s="452">
        <f>IF(ISNUMBER(G17/B17),G17/B17," - ")</f>
        <v>171</v>
      </c>
      <c r="I17" s="451">
        <f>IF(ISNUMBER(IF(D_I="SI",Datos!L17,Datos!L17+Datos!AF17)),IF(D_I="SI",Datos!L17,Datos!L17+Datos!AF17)," - ")</f>
        <v>1273</v>
      </c>
      <c r="J17" s="452">
        <f>IF(ISNUMBER(I17/B17),I17/B17," - ")</f>
        <v>318.25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60</v>
      </c>
      <c r="F18" s="452">
        <f>IF(ISNUMBER(E18/B18),E18/B18," - ")</f>
        <v>60</v>
      </c>
      <c r="G18" s="451">
        <f>IF(ISNUMBER(IF(D_I="SI",Datos!K18,Datos!K18+Datos!AE18)),IF(D_I="SI",Datos!K18,Datos!K18+Datos!AE18)," - ")</f>
        <v>74</v>
      </c>
      <c r="H18" s="452">
        <f>IF(ISNUMBER(G18/B18),G18/B18," - ")</f>
        <v>74</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1213</v>
      </c>
      <c r="D23" s="1147" t="str">
        <f>IF(ISNUMBER(C23/Datos!BI23),C23/Datos!BI23," - ")</f>
        <v xml:space="preserve"> - </v>
      </c>
      <c r="E23" s="1146">
        <f>SUBTOTAL(9,E15:E22)</f>
        <v>827</v>
      </c>
      <c r="F23" s="1147">
        <f>IF(ISNUMBER(E23/B23),E23/B23," - ")</f>
        <v>206.75</v>
      </c>
      <c r="G23" s="1146">
        <f>SUBTOTAL(9,G15:G22)</f>
        <v>758</v>
      </c>
      <c r="H23" s="1147">
        <f>IF(ISNUMBER(G23/B23),G23/B23," - ")</f>
        <v>189.5</v>
      </c>
      <c r="I23" s="1146">
        <f>SUBTOTAL(9,I15:I22)</f>
        <v>1282</v>
      </c>
      <c r="J23" s="1147">
        <f>IF(ISNUMBER(I23/B23),I23/B23," - ")</f>
        <v>320.5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4328</v>
      </c>
      <c r="D31" s="1085" t="str">
        <f>IF(ISNUMBER(C31/Datos!BI31),C31/Datos!BI31," - ")</f>
        <v xml:space="preserve"> - </v>
      </c>
      <c r="E31" s="1084">
        <f>SUBTOTAL(9,E9:E30)</f>
        <v>1745</v>
      </c>
      <c r="F31" s="1085">
        <f>IF(ISNUMBER(E31/B31),E31/B31," - ")</f>
        <v>436.25</v>
      </c>
      <c r="G31" s="1084">
        <f>SUBTOTAL(9,G9:G30)</f>
        <v>1697</v>
      </c>
      <c r="H31" s="1085">
        <f>IF(ISNUMBER(G31/B31),G31/B31," - ")</f>
        <v>424.25</v>
      </c>
      <c r="I31" s="1084">
        <f>SUBTOTAL(9,I9:I30)</f>
        <v>4376</v>
      </c>
      <c r="J31" s="1085">
        <f>IF(ISNUMBER(I31/B31),I31/B31," - ")</f>
        <v>1094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5gQZLr78jdmXGzjR5kifaKNjWXmFqHEAwyExNWpFwPiwJgcYUDZnPT2d/iQsDpZruy2U8XXeUJM1pXAwzn14A==" saltValue="ZYgeRTyTCQvEnRUtHOGs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UTRERA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240</v>
      </c>
      <c r="AM12" s="914">
        <f>IF(ISNUMBER(Datos!N12+DatosP!N17),Datos!N12+DatosP!N17," - ")</f>
        <v>303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9.8955223880597014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-7.7605321507760533E-2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635</v>
      </c>
      <c r="AE14" s="1257">
        <f t="shared" si="1"/>
        <v>0</v>
      </c>
      <c r="AF14" s="1257">
        <f t="shared" si="1"/>
        <v>0</v>
      </c>
      <c r="AG14" s="1257">
        <f t="shared" si="1"/>
        <v>0</v>
      </c>
      <c r="AH14" s="1257">
        <f t="shared" si="1"/>
        <v>4992</v>
      </c>
      <c r="AI14" s="1257">
        <f t="shared" si="1"/>
        <v>0</v>
      </c>
      <c r="AJ14" s="1257">
        <f t="shared" si="1"/>
        <v>0</v>
      </c>
      <c r="AK14" s="1257">
        <f t="shared" si="1"/>
        <v>0</v>
      </c>
      <c r="AL14" s="1257">
        <f t="shared" si="1"/>
        <v>240</v>
      </c>
      <c r="AM14" s="1257">
        <f t="shared" si="1"/>
        <v>303</v>
      </c>
      <c r="AN14" s="1257">
        <f t="shared" si="1"/>
        <v>0</v>
      </c>
      <c r="AO14" s="1257">
        <f t="shared" si="1"/>
        <v>0</v>
      </c>
      <c r="AP14" s="1262">
        <f>IF(ISNUMBER(((Datos!L14/Datos!K14)*11)/factor_trimestre),((Datos!L14/Datos!K14)*11)/factor_trimestre," - ")</f>
        <v>10.62514688601645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-7.7605321507760533E-2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5.0738786279683383</v>
      </c>
      <c r="AQ23" s="1262">
        <f>IF(ISNUMBER(((Datos!M23/Datos!L23)*11)/factor_trimestre),((Datos!M23/Datos!L23)*11)/factor_trimestre," - ")</f>
        <v>0.44929797191887677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-0.11124260355029586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635</v>
      </c>
      <c r="AE31" s="1284">
        <f t="shared" si="9"/>
        <v>0</v>
      </c>
      <c r="AF31" s="1285">
        <f t="shared" si="9"/>
        <v>0</v>
      </c>
      <c r="AG31" s="1285">
        <f t="shared" si="9"/>
        <v>0</v>
      </c>
      <c r="AH31" s="1285">
        <f t="shared" si="9"/>
        <v>4992</v>
      </c>
      <c r="AI31" s="1285">
        <f t="shared" si="9"/>
        <v>0</v>
      </c>
      <c r="AJ31" s="1286">
        <f t="shared" si="9"/>
        <v>0</v>
      </c>
      <c r="AK31" s="1286">
        <f t="shared" si="9"/>
        <v>0</v>
      </c>
      <c r="AL31" s="1278">
        <f t="shared" si="9"/>
        <v>240</v>
      </c>
      <c r="AM31" s="1278">
        <f t="shared" si="9"/>
        <v>303</v>
      </c>
      <c r="AN31" s="1278">
        <f t="shared" si="9"/>
        <v>0</v>
      </c>
      <c r="AO31" s="1278">
        <f t="shared" si="9"/>
        <v>0</v>
      </c>
      <c r="AP31" s="1278">
        <f>IF(ISNUMBER(((Datos!L31/Datos!K31)*11)/factor_trimestre),((Datos!L31/Datos!K31)*11)/factor_trimestre," - ")</f>
        <v>8.0099440646364215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-7.6185402237613206E-2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4.9257531889670512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lQKtzmFxUsLl2glq/G+xAgeR82HOHYSQYJWFaXBOw/HBnmQnKmPUsKyeBkTOozDifCp0PESPK8mGUWaToAVqg==" saltValue="xSrsNfEL+9LvA7BFof50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UTRERA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h4Fd3M2R9xMiXbR2aQZOdTkJ3cwo3XmwtTM7N9PmWJADbjGl4DAfQpJwXR0BKG4G7R63mOoUcKAwrwQCqyv5g==" saltValue="nb14pWYgL/VLjZcs5eA2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UTRERA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240</v>
      </c>
      <c r="E12" s="452">
        <f t="shared" si="0"/>
        <v>60</v>
      </c>
      <c r="F12" s="451">
        <f>IF(ISNUMBER(Datos!N12),Datos!N12," - ")</f>
        <v>303</v>
      </c>
      <c r="G12" s="452">
        <f t="shared" si="1"/>
        <v>75.75</v>
      </c>
      <c r="H12" s="451">
        <f>IF(ISNUMBER(Datos!O12),Datos!O12," - ")</f>
        <v>357</v>
      </c>
      <c r="I12" s="452">
        <f t="shared" si="2"/>
        <v>89.25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240</v>
      </c>
      <c r="E14" s="1147">
        <f t="shared" si="0"/>
        <v>48</v>
      </c>
      <c r="F14" s="1146">
        <f>SUBTOTAL(9,F9:F13)</f>
        <v>303</v>
      </c>
      <c r="G14" s="1147">
        <f t="shared" si="1"/>
        <v>60.6</v>
      </c>
      <c r="H14" s="1146">
        <f>SUBTOTAL(9,H9:H13)</f>
        <v>357</v>
      </c>
      <c r="I14" s="1147">
        <f>IF(ISNUMBER(H14/B14),H14/B14," - ")</f>
        <v>71.400000000000006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177</v>
      </c>
      <c r="E17" s="452">
        <f t="shared" si="3"/>
        <v>44.25</v>
      </c>
      <c r="F17" s="451">
        <f>IF(ISNUMBER(Datos!N17),Datos!N17," - ")</f>
        <v>376</v>
      </c>
      <c r="G17" s="452">
        <f t="shared" si="4"/>
        <v>94</v>
      </c>
      <c r="H17" s="451">
        <f>IF(ISNUMBER(Datos!O17),Datos!O17," - ")</f>
        <v>2</v>
      </c>
      <c r="I17" s="452">
        <f t="shared" si="5"/>
        <v>0.5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192</v>
      </c>
      <c r="E23" s="1147">
        <f t="shared" si="3"/>
        <v>38.4</v>
      </c>
      <c r="F23" s="1146">
        <f>SUBTOTAL(9,F16:F22)</f>
        <v>427</v>
      </c>
      <c r="G23" s="1147">
        <f t="shared" si="4"/>
        <v>85.4</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432</v>
      </c>
      <c r="E31" s="1085">
        <f>IF(ISNUMBER(D31/B31),D31/B31," - ")</f>
        <v>108</v>
      </c>
      <c r="F31" s="1084">
        <f>SUBTOTAL(9,F8:F30)</f>
        <v>730</v>
      </c>
      <c r="G31" s="1085">
        <f>IF(ISNUMBER(F31/B31),F31/B31," - ")</f>
        <v>182.5</v>
      </c>
      <c r="H31" s="1084">
        <f>SUBTOTAL(9,H8:H30)</f>
        <v>359</v>
      </c>
      <c r="I31" s="1085">
        <f>IF(ISNUMBER(H31/B31),H31/B31," - ")</f>
        <v>89.75</v>
      </c>
    </row>
    <row r="34" spans="1:1">
      <c r="A34" s="439" t="str">
        <f>Criterios!A4</f>
        <v>Fecha Informe: 05 may. 2023</v>
      </c>
    </row>
    <row r="39" spans="1:1">
      <c r="A39" s="462"/>
    </row>
  </sheetData>
  <sheetProtection algorithmName="SHA-512" hashValue="Cj9SAwjl7XE6alb95rVrKEcLDvEB+1sHG1yeC0+o1tY29ZeDau/MI5203Ha7A1XFHUfUyS7lgPndlV8bMxdIsQ==" saltValue="+YBAd1aK9ydJEW5gb3bE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UTRERA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215</v>
      </c>
      <c r="C12" s="489">
        <f>IF(ISNUMBER(Datos!Q12),Datos!Q12," - ")</f>
        <v>635</v>
      </c>
      <c r="D12" s="456">
        <f>IF(ISNUMBER(Datos!R12),Datos!R12," - ")</f>
        <v>4992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215</v>
      </c>
      <c r="C14" s="1150">
        <f>SUBTOTAL(9,C9:C13)</f>
        <v>636</v>
      </c>
      <c r="D14" s="1148">
        <f>SUBTOTAL(9,D9:D13)</f>
        <v>4994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20</v>
      </c>
      <c r="D17" s="456">
        <f>IF(ISNUMBER(Datos!R17),Datos!R17," - ")</f>
        <v>208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20</v>
      </c>
      <c r="D23" s="1148">
        <f>SUBTOTAL(9,D16:D22)</f>
        <v>208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227</v>
      </c>
      <c r="C31" s="1089">
        <f>SUBTOTAL(9,C8:C30)</f>
        <v>656</v>
      </c>
      <c r="D31" s="1090">
        <f>SUBTOTAL(9,D8:D30)</f>
        <v>5202</v>
      </c>
    </row>
    <row r="32" spans="1:4" ht="7.5" customHeight="1"/>
    <row r="33" spans="1:1" ht="6" customHeight="1"/>
    <row r="34" spans="1:1">
      <c r="A34" s="439" t="str">
        <f>Criterios!A4</f>
        <v>Fecha Informe: 05 may. 2023</v>
      </c>
    </row>
    <row r="39" spans="1:1">
      <c r="A39" s="462"/>
    </row>
  </sheetData>
  <sheetProtection algorithmName="SHA-512" hashValue="ft0dZ0napr07nOXOK38tIVbzLI9n3aLxykiCBzOa517Lyv5nS6U6f2tPS2kdCFgnmv2dwbsu4EBFQwYtRHLkhA==" saltValue="IQ8I0oaLPe8v6GqwrYAW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UTRERA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-0.15605526957464103</v>
      </c>
      <c r="C12" s="515">
        <f>IF(ISNUMBER(
   IF(J_V="SI",(Datos!J12-Datos!T12)/Datos!T12,(Datos!J12+Datos!Z12-(Datos!T12+Datos!AH12))/(Datos!T12+Datos!AH12))
     ),IF(J_V="SI",(Datos!J12-Datos!T12)/Datos!T12,(Datos!J12+Datos!Z12-(Datos!T12+Datos!AH12))/(Datos!T12+Datos!AH12))," - ")</f>
        <v>-7.8391959798994978E-2</v>
      </c>
      <c r="D12" s="515">
        <f>IF(ISNUMBER(
   IF(J_V="SI",(Datos!K12-Datos!U12)/Datos!U12,(Datos!K12+Datos!AA12-(Datos!U12+Datos!AI12))/(Datos!U12+Datos!AI12))
     ),IF(J_V="SI",(Datos!K12-Datos!U12)/Datos!U12,(Datos!K12+Datos!AA12-(Datos!U12+Datos!AI12))/(Datos!U12+Datos!AI12))," - ")</f>
        <v>-1.3669821240799159E-2</v>
      </c>
      <c r="E12" s="515">
        <f>IF(ISNUMBER(
   IF(J_V="SI",(Datos!L12-Datos!V12)/Datos!V12,(Datos!L12+Datos!AB12-(Datos!V12+Datos!AJ12))/(Datos!V12+Datos!AJ12))
     ),IF(J_V="SI",(Datos!L12-Datos!V12)/Datos!V12,(Datos!L12+Datos!AB12-(Datos!V12+Datos!AJ12))/(Datos!V12+Datos!AJ12))," - ")</f>
        <v>-0.17139796464916979</v>
      </c>
      <c r="F12" s="515">
        <f>IF(ISNUMBER((Datos!M12-Datos!W12)/Datos!W12),(Datos!M12-Datos!W12)/Datos!W12," - ")</f>
        <v>7.1428571428571425E-2</v>
      </c>
      <c r="G12" s="516">
        <f>IF(ISNUMBER((Datos!N12-Datos!X12)/Datos!X12),(Datos!N12-Datos!X12)/Datos!X12," - ")</f>
        <v>-0.2733812949640288</v>
      </c>
      <c r="H12" s="514">
        <f>IF(ISNUMBER(((NºAsuntos!G12/NºAsuntos!E12)-Datos!BD12)/Datos!BD12),((NºAsuntos!G12/NºAsuntos!E12)-Datos!BD12)/Datos!BD12," - ")</f>
        <v>7.0227402252349747E-2</v>
      </c>
      <c r="I12" s="515">
        <f>IF(ISNUMBER(((NºAsuntos!I12/NºAsuntos!G12)-Datos!BE12)/Datos!BE12),((NºAsuntos!I12/NºAsuntos!G12)-Datos!BE12)/Datos!BE12," - ")</f>
        <v>-0.15991414113151436</v>
      </c>
      <c r="J12" s="521">
        <f>IF(ISNUMBER((('Resol  Asuntos'!D12/NºAsuntos!G12)-Datos!BF12)/Datos!BF12),(('Resol  Asuntos'!D12/NºAsuntos!G12)-Datos!BF12)/Datos!BF12," - ")</f>
        <v>-0.41648387047291802</v>
      </c>
      <c r="K12" s="522">
        <f>IF(ISNUMBER((((NºAsuntos!C12+NºAsuntos!E12)/NºAsuntos!G12)-Datos!BG12)/Datos!BG12),(((NºAsuntos!C12+NºAsuntos!E12)/NºAsuntos!G12)-Datos!BG12)/Datos!BG12," - ")</f>
        <v>-0.12763965065835986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-0.15605526957464103</v>
      </c>
      <c r="C14" s="1152">
        <f>IF(ISNUMBER(
   IF(J_V="SI",(Datos!J14-Datos!T14)/Datos!T14,(Datos!J14+Datos!Z14-(Datos!T14+Datos!AH14))/(Datos!T14+Datos!AH14))
     ),IF(J_V="SI",(Datos!J14-Datos!T14)/Datos!T14,(Datos!J14+Datos!Z14-(Datos!T14+Datos!AH14))/(Datos!T14+Datos!AH14))," - ")</f>
        <v>-7.8313253012048195E-2</v>
      </c>
      <c r="D14" s="1152">
        <f>IF(ISNUMBER(
   IF(J_V="SI",(Datos!K14-Datos!U14)/Datos!U14,(Datos!K14+Datos!AA14-(Datos!U14+Datos!AI14))/(Datos!U14+Datos!AI14))
     ),IF(J_V="SI",(Datos!K14-Datos!U14)/Datos!U14,(Datos!K14+Datos!AA14-(Datos!U14+Datos!AI14))/(Datos!U14+Datos!AI14))," - ")</f>
        <v>-1.365546218487395E-2</v>
      </c>
      <c r="E14" s="1152">
        <f>IF(ISNUMBER(
   IF(J_V="SI",(Datos!L14-Datos!V14)/Datos!V14,(Datos!L14+Datos!AB14-(Datos!V14+Datos!AJ14))/(Datos!V14+Datos!AJ14))
     ),IF(J_V="SI",(Datos!L14-Datos!V14)/Datos!V14,(Datos!L14+Datos!AB14-(Datos!V14+Datos!AJ14))/(Datos!V14+Datos!AJ14))," - ")</f>
        <v>-0.17139796464916979</v>
      </c>
      <c r="F14" s="1153">
        <f>IF(ISNUMBER((Datos!M14-Datos!W14)/Datos!W14),(Datos!M14-Datos!W14)/Datos!W14," - ")</f>
        <v>7.1428571428571425E-2</v>
      </c>
      <c r="G14" s="1154">
        <f>IF(ISNUMBER((Datos!N14-Datos!X14)/Datos!X14),(Datos!N14-Datos!X14)/Datos!X14," - ")</f>
        <v>-0.2733812949640288</v>
      </c>
      <c r="H14" s="1154">
        <f>IF(ISNUMBER(((NºAsuntos!G14/NºAsuntos!E14)-Datos!BD14)/Datos!BD14),((NºAsuntos!G14/NºAsuntos!E14)-Datos!BD14)/Datos!BD14," - ")</f>
        <v>7.0151590047783721E-2</v>
      </c>
      <c r="I14" s="1154">
        <f>IF(ISNUMBER(((NºAsuntos!I14/NºAsuntos!G14)-Datos!BE14)/Datos!BE14),((NºAsuntos!I14/NºAsuntos!G14)-Datos!BE14)/Datos!BE14," - ")</f>
        <v>-0.15992637097551607</v>
      </c>
      <c r="J14" s="1154">
        <f>IF(ISNUMBER((('Resol  Asuntos'!D14/NºAsuntos!G14)-Datos!BF14)/Datos!BF14),(('Resol  Asuntos'!D14/NºAsuntos!G14)-Datos!BF14)/Datos!BF14," - ")</f>
        <v>-0.41649236521326072</v>
      </c>
      <c r="K14" s="1154">
        <f>IF(ISNUMBER((((NºAsuntos!C14+NºAsuntos!E14)/NºAsuntos!G14)-Datos!BG14)/Datos!BG14),(((NºAsuntos!C14+NºAsuntos!E14)/NºAsuntos!G14)-Datos!BG14)/Datos!BG14," - ")</f>
        <v>-0.12762216113133718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-0.18437285812200138</v>
      </c>
      <c r="C17" s="515">
        <f>IF(ISNUMBER(
   IF(D_I="SI",(Datos!J17-Datos!T17)/Datos!T17,(Datos!J17+Datos!AD17-(Datos!T17+Datos!AL17))/(Datos!T17+Datos!AL17))
     ),IF(D_I="SI",(Datos!J17-Datos!T17)/Datos!T17,(Datos!J17+Datos!AD17-(Datos!T17+Datos!AL17))/(Datos!T17+Datos!AL17))," - ")</f>
        <v>-0.14872364039955605</v>
      </c>
      <c r="D17" s="515">
        <f>IF(ISNUMBER(
   IF(D_I="SI",(Datos!K17-Datos!U17)/Datos!U17,(Datos!K17+Datos!AE17-(Datos!U17+Datos!AM17))/(Datos!U17+Datos!AM17))
     ),IF(D_I="SI",(Datos!K17-Datos!U17)/Datos!U17,(Datos!K17+Datos!AE17-(Datos!U17+Datos!AM17))/(Datos!U17+Datos!AM17))," - ")</f>
        <v>-0.26213592233009708</v>
      </c>
      <c r="E17" s="515">
        <f>IF(ISNUMBER(
   IF(D_I="SI",(Datos!L17-Datos!V17)/Datos!V17,(Datos!L17+Datos!AF17-(Datos!V17+Datos!AN17))/(Datos!V17+Datos!AN17))
     ),IF(D_I="SI",(Datos!L17-Datos!V17)/Datos!V17,(Datos!L17+Datos!AF17-(Datos!V17+Datos!AN17))/(Datos!V17+Datos!AN17))," - ")</f>
        <v>-0.11165387299371947</v>
      </c>
      <c r="F17" s="515">
        <f>IF(ISNUMBER((Datos!M17-Datos!W17)/Datos!W17),(Datos!M17-Datos!W17)/Datos!W17," - ")</f>
        <v>0.22916666666666666</v>
      </c>
      <c r="G17" s="516">
        <f>IF(ISNUMBER((Datos!N17-Datos!X17)/Datos!X17),(Datos!N17-Datos!X17)/Datos!X17," - ")</f>
        <v>-0.3345132743362832</v>
      </c>
      <c r="H17" s="514">
        <f>IF(ISNUMBER(((NºAsuntos!G17/NºAsuntos!E17)-Datos!BD17)/Datos!BD17),((NºAsuntos!G17/NºAsuntos!E17)-Datos!BD17)/Datos!BD17," - ")</f>
        <v>-0.13322616169415571</v>
      </c>
      <c r="I17" s="515">
        <f>IF(ISNUMBER(((NºAsuntos!I17/NºAsuntos!G17)-Datos!BE17)/Datos!BE17),((NºAsuntos!I17/NºAsuntos!G17)-Datos!BE17)/Datos!BE17," - ")</f>
        <v>0.20394277739009073</v>
      </c>
      <c r="J17" s="521">
        <f>IF(ISNUMBER((('Resol  Asuntos'!D17/NºAsuntos!G17)-Datos!BF17)/Datos!BF17),(('Resol  Asuntos'!D17/NºAsuntos!G17)-Datos!BF17)/Datos!BF17," - ")</f>
        <v>0.66584429824561431</v>
      </c>
      <c r="K17" s="522">
        <f>IF(ISNUMBER((((NºAsuntos!C17+NºAsuntos!E17)/NºAsuntos!G17)-Datos!BG17)/Datos!BG17),(((NºAsuntos!C17+NºAsuntos!E17)/NºAsuntos!G17)-Datos!BG17)/Datos!BG17," - ")</f>
        <v>0.12383474576271197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-0.46511627906976744</v>
      </c>
      <c r="C18" s="515">
        <f>IF(ISNUMBER(
   IF(D_I="SI",(Datos!J18-Datos!T18)/Datos!T18,(Datos!J18+Datos!AD18-(Datos!T18+Datos!AL18))/(Datos!T18+Datos!AL18))
     ),IF(D_I="SI",(Datos!J18-Datos!T18)/Datos!T18,(Datos!J18+Datos!AD18-(Datos!T18+Datos!AL18))/(Datos!T18+Datos!AL18))," - ")</f>
        <v>-0.35483870967741937</v>
      </c>
      <c r="D18" s="515">
        <f>IF(ISNUMBER(
   IF(D_I="SI",(Datos!K18-Datos!U18)/Datos!U18,(Datos!K18+Datos!AE18-(Datos!U18+Datos!AM18))/(Datos!U18+Datos!AM18))
     ),IF(D_I="SI",(Datos!K18-Datos!U18)/Datos!U18,(Datos!K18+Datos!AE18-(Datos!U18+Datos!AM18))/(Datos!U18+Datos!AM18))," - ")</f>
        <v>-0.20430107526881722</v>
      </c>
      <c r="E18" s="515">
        <f>IF(ISNUMBER(
   IF(D_I="SI",(Datos!L18-Datos!V18)/Datos!V18,(Datos!L18+Datos!AF18-(Datos!V18+Datos!AN18))/(Datos!V18+Datos!AN18))
     ),IF(D_I="SI",(Datos!L18-Datos!V18)/Datos!V18,(Datos!L18+Datos!AF18-(Datos!V18+Datos!AN18))/(Datos!V18+Datos!AN18))," - ")</f>
        <v>-0.79069767441860461</v>
      </c>
      <c r="F18" s="515">
        <f>IF(ISNUMBER((Datos!M18-Datos!W18)/Datos!W18),(Datos!M18-Datos!W18)/Datos!W18," - ")</f>
        <v>-0.4</v>
      </c>
      <c r="G18" s="516">
        <f>IF(ISNUMBER((Datos!N18-Datos!X18)/Datos!X18),(Datos!N18-Datos!X18)/Datos!X18," - ")</f>
        <v>0.10869565217391304</v>
      </c>
      <c r="H18" s="514">
        <f>IF(ISNUMBER(((NºAsuntos!G18/NºAsuntos!E18)-Datos!BD18)/Datos!BD18),((NºAsuntos!G18/NºAsuntos!E18)-Datos!BD18)/Datos!BD18," - ")</f>
        <v>0.23333333333333339</v>
      </c>
      <c r="I18" s="515">
        <f>IF(ISNUMBER(((NºAsuntos!I18/NºAsuntos!G18)-Datos!BE18)/Datos!BE18),((NºAsuntos!I18/NºAsuntos!G18)-Datos!BE18)/Datos!BE18," - ")</f>
        <v>-0.73695788812067875</v>
      </c>
      <c r="J18" s="521">
        <f>IF(ISNUMBER((('Resol  Asuntos'!D18/NºAsuntos!G18)-Datos!BF18)/Datos!BF18),(('Resol  Asuntos'!D18/NºAsuntos!G18)-Datos!BF18)/Datos!BF18," - ")</f>
        <v>-0.24594594594594585</v>
      </c>
      <c r="K18" s="522">
        <f>IF(ISNUMBER((((NºAsuntos!C18+NºAsuntos!E18)/NºAsuntos!G18)-Datos!BG18)/Datos!BG18),(((NºAsuntos!C18+NºAsuntos!E18)/NºAsuntos!G18)-Datos!BG18)/Datos!BG18," - ")</f>
        <v>-0.23300874403815575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-0.19241011984021306</v>
      </c>
      <c r="C23" s="1152">
        <f>IF(ISNUMBER(
   IF(Criterios!B14="SI",(Datos!J23-Datos!T23)/Datos!T23,(Datos!J23+Datos!AD23-(Datos!T23+Datos!AL23))/(Datos!T23+Datos!AL23))
     ),IF(Criterios!B14="SI",(Datos!J23-Datos!T23)/Datos!T23,(Datos!J23+Datos!AD23-(Datos!T23+Datos!AL23))/(Datos!T23+Datos!AL23))," - ")</f>
        <v>-0.16800804828973842</v>
      </c>
      <c r="D23" s="1152">
        <f>IF(ISNUMBER(
   IF(Criterios!B14="SI",(Datos!K23-Datos!U23)/Datos!U23,(Datos!K23+Datos!AE23-(Datos!U23+Datos!AM23))/(Datos!U23+Datos!AM23))
     ),IF(Criterios!B14="SI",(Datos!K23-Datos!U23)/Datos!U23,(Datos!K23+Datos!AE23-(Datos!U23+Datos!AM23))/(Datos!U23+Datos!AM23))," - ")</f>
        <v>-0.25686274509803919</v>
      </c>
      <c r="E23" s="1152">
        <f>IF(ISNUMBER(
   IF(Criterios!B14="SI",(Datos!L23-Datos!V23)/Datos!V23,(Datos!L23+Datos!AF23-(Datos!V23+Datos!AN23))/(Datos!V23+Datos!AN23))
     ),IF(Criterios!B14="SI",(Datos!L23-Datos!V23)/Datos!V23,(Datos!L23+Datos!AF23-(Datos!V23+Datos!AN23))/(Datos!V23+Datos!AN23))," - ")</f>
        <v>-0.13143631436314362</v>
      </c>
      <c r="F23" s="1153">
        <f>IF(ISNUMBER((Datos!M23-Datos!W23)/Datos!W23),(Datos!M23-Datos!W23)/Datos!W23," - ")</f>
        <v>0.13609467455621302</v>
      </c>
      <c r="G23" s="1154">
        <f>IF(ISNUMBER((Datos!N23-Datos!X23)/Datos!X23),(Datos!N23-Datos!X23)/Datos!X23," - ")</f>
        <v>-0.30114566284779049</v>
      </c>
      <c r="H23" s="1154">
        <f>IF(ISNUMBER(((NºAsuntos!G23/NºAsuntos!E23)-Datos!BD23)/Datos!BD23),((NºAsuntos!G23/NºAsuntos!E23)-Datos!BD23)/Datos!BD23," - ")</f>
        <v>-0.10679754368494686</v>
      </c>
      <c r="I23" s="1154">
        <f>IF(ISNUMBER(((NºAsuntos!I23/NºAsuntos!G23)-Datos!BE23)/Datos!BE23),((NºAsuntos!I23/NºAsuntos!G23)-Datos!BE23)/Datos!BE23," - ")</f>
        <v>0.16877962974880409</v>
      </c>
      <c r="J23" s="1154">
        <f>IF(ISNUMBER((('Resol  Asuntos'!D23/NºAsuntos!G23)-Datos!BF23)/Datos!BF23),(('Resol  Asuntos'!D23/NºAsuntos!G23)-Datos!BF23)/Datos!BF23," - ")</f>
        <v>0.52878175204134226</v>
      </c>
      <c r="K23" s="1154">
        <f>IF(ISNUMBER((((NºAsuntos!C23+NºAsuntos!E23)/NºAsuntos!G23)-Datos!BG23)/Datos!BG23),(((NºAsuntos!C23+NºAsuntos!E23)/NºAsuntos!G23)-Datos!BG23)/Datos!BG23," - ")</f>
        <v>9.9807184899533177E-2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-0.16657038320816484</v>
      </c>
      <c r="C31" s="1092">
        <f>IF(ISNUMBER(
   IF(J_V="SI",(Datos!J31-Datos!T31)/Datos!T31,(Datos!J31+Datos!Z31-(Datos!T31+Datos!AH31))/(Datos!T31+Datos!AH31))
     ),IF(J_V="SI",(Datos!J31-Datos!T31)/Datos!T31,(Datos!J31+Datos!Z31-(Datos!T31+Datos!AH31))/(Datos!T31+Datos!AH31))," - ")</f>
        <v>-0.12311557788944724</v>
      </c>
      <c r="D31" s="1092">
        <f>IF(ISNUMBER(
   IF(J_V="SI",(Datos!K31-Datos!U31)/Datos!U31,(Datos!K31+Datos!AA31-(Datos!U31+Datos!AI31))/(Datos!U31+Datos!AI31))
     ),IF(J_V="SI",(Datos!K31-Datos!U31)/Datos!U31,(Datos!K31+Datos!AA31-(Datos!U31+Datos!AI31))/(Datos!U31+Datos!AI31))," - ")</f>
        <v>-0.13945233265720081</v>
      </c>
      <c r="E31" s="1092">
        <f>IF(ISNUMBER(
   IF(J_V="SI",(Datos!L31-Datos!V31)/Datos!V31,(Datos!L31+Datos!AB31-(Datos!V31+Datos!AJ31))/(Datos!V31+Datos!AJ31))
     ),IF(J_V="SI",(Datos!L31-Datos!V31)/Datos!V31,(Datos!L31+Datos!AB31-(Datos!V31+Datos!AJ31))/(Datos!V31+Datos!AJ31))," - ")</f>
        <v>-0.1600767754318618</v>
      </c>
      <c r="F31" s="1093">
        <f>IF(ISNUMBER((Datos!M31-Datos!W31)/Datos!W31),(Datos!M31-Datos!W31)/Datos!W31," - ")</f>
        <v>9.9236641221374045E-2</v>
      </c>
      <c r="G31" s="1094">
        <f>IF(ISNUMBER((Datos!N31-Datos!X31)/Datos!X31),(Datos!N31-Datos!X31)/Datos!X31," - ")</f>
        <v>-0.2898832684824903</v>
      </c>
      <c r="H31" s="1095">
        <f>IF(ISNUMBER((Tasas!B31-Datos!BD31)/Datos!BD31),(Tasas!B31-Datos!BD31)/Datos!BD31," - ")</f>
        <v>-1.8630453861220381E-2</v>
      </c>
      <c r="I31" s="1096">
        <f>IF(ISNUMBER((Tasas!C31-Datos!BE31)/Datos!BE31),(Tasas!C31-Datos!BE31)/Datos!BE31," - ")</f>
        <v>-2.3966647702788089E-2</v>
      </c>
      <c r="J31" s="1097">
        <f>IF(ISNUMBER((Tasas!D31-Datos!BF31)/Datos!BF31),(Tasas!D31-Datos!BF31)/Datos!BF31," - ")</f>
        <v>-0.14333465400697076</v>
      </c>
      <c r="K31" s="1097">
        <f>IF(ISNUMBER((Tasas!E31-Datos!BG31)/Datos!BG31),(Tasas!E31-Datos!BG31)/Datos!BG31," - ")</f>
        <v>-1.752279472804201E-2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DxQqdZneytZBDIk185ywdKKTrpePvzSxXVwoq8eBIja9YQpv9QWrUscSDbiw12gGuBgVnXD7KxzaOZGPTxiw==" saltValue="mT1NTlVyWBEVOtVc0zbvQ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UTRERA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1.0229007633587786</v>
      </c>
      <c r="C12" s="498">
        <f>IF(ISNUMBER(NºAsuntos!I12/NºAsuntos!G12),NºAsuntos!I12/NºAsuntos!G12," - ")</f>
        <v>3.2985074626865671</v>
      </c>
      <c r="D12" s="499">
        <f>IF(ISNUMBER('Resol  Asuntos'!D12/NºAsuntos!G12),'Resol  Asuntos'!D12/NºAsuntos!G12," - ")</f>
        <v>0.25586353944562901</v>
      </c>
      <c r="E12" s="500">
        <f>IF(ISNUMBER((NºAsuntos!C12+NºAsuntos!E12)/NºAsuntos!G12),(NºAsuntos!C12+NºAsuntos!E12)/NºAsuntos!G12," - ")</f>
        <v>4.2985074626865671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1.022875816993464</v>
      </c>
      <c r="C14" s="1156">
        <f>IF(ISNUMBER(NºAsuntos!I14/NºAsuntos!G14),NºAsuntos!I14/NºAsuntos!G14," - ")</f>
        <v>3.2949946751863686</v>
      </c>
      <c r="D14" s="1157">
        <f>IF(ISNUMBER('Resol  Asuntos'!D14/NºAsuntos!G14),'Resol  Asuntos'!D14/NºAsuntos!G14," - ")</f>
        <v>0.25559105431309903</v>
      </c>
      <c r="E14" s="1158">
        <f>IF(ISNUMBER((NºAsuntos!C14+NºAsuntos!E14)/NºAsuntos!G14),(NºAsuntos!C14+NºAsuntos!E14)/NºAsuntos!G14," - ")</f>
        <v>4.2949946751863681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0.89178617992177311</v>
      </c>
      <c r="C17" s="498">
        <f>IF(ISNUMBER(NºAsuntos!I17/NºAsuntos!G17),NºAsuntos!I17/NºAsuntos!G17," - ")</f>
        <v>1.8611111111111112</v>
      </c>
      <c r="D17" s="499">
        <f>IF(ISNUMBER('Resol  Asuntos'!D17/NºAsuntos!G17),'Resol  Asuntos'!D17/NºAsuntos!G17," - ")</f>
        <v>0.25877192982456143</v>
      </c>
      <c r="E17" s="500">
        <f>IF(ISNUMBER((NºAsuntos!C17+NºAsuntos!E17)/NºAsuntos!G17),(NºAsuntos!C17+NºAsuntos!E17)/NºAsuntos!G17," - ")</f>
        <v>2.8611111111111112</v>
      </c>
      <c r="G17" s="523"/>
    </row>
    <row r="18" spans="1:7">
      <c r="A18" s="450" t="str">
        <f>Datos!A18</f>
        <v>Jdos. Violencia contra la mujer</v>
      </c>
      <c r="B18" s="497">
        <f>IF(ISNUMBER(NºAsuntos!G18/NºAsuntos!E18),NºAsuntos!G18/NºAsuntos!E18," - ")</f>
        <v>1.2333333333333334</v>
      </c>
      <c r="C18" s="498">
        <f>IF(ISNUMBER(NºAsuntos!I18/NºAsuntos!G18),NºAsuntos!I18/NºAsuntos!G18," - ")</f>
        <v>0.12162162162162163</v>
      </c>
      <c r="D18" s="499">
        <f>IF(ISNUMBER('Resol  Asuntos'!D18/NºAsuntos!G18),'Resol  Asuntos'!D18/NºAsuntos!G18," - ")</f>
        <v>0.20270270270270271</v>
      </c>
      <c r="E18" s="500">
        <f>IF(ISNUMBER((NºAsuntos!C18+NºAsuntos!E18)/NºAsuntos!G18),(NºAsuntos!C18+NºAsuntos!E18)/NºAsuntos!G18," - ")</f>
        <v>1.1216216216216217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0.91656590084643286</v>
      </c>
      <c r="C23" s="1156">
        <f>IF(ISNUMBER(NºAsuntos!I23/NºAsuntos!G23),NºAsuntos!I23/NºAsuntos!G23," - ")</f>
        <v>1.6912928759894459</v>
      </c>
      <c r="D23" s="1159">
        <f>IF(ISNUMBER('Resol  Asuntos'!D23/NºAsuntos!G23),'Resol  Asuntos'!D23/NºAsuntos!G23," - ")</f>
        <v>0.25329815303430081</v>
      </c>
      <c r="E23" s="1158">
        <f>IF(ISNUMBER((NºAsuntos!C23+NºAsuntos!E23)/NºAsuntos!G23),(NºAsuntos!C23+NºAsuntos!E23)/NºAsuntos!G23," - ")</f>
        <v>2.6912928759894461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0.97249283667621778</v>
      </c>
      <c r="C31" s="1099">
        <f>IF(ISNUMBER(NºAsuntos!I31/NºAsuntos!G31),NºAsuntos!I31/NºAsuntos!G31," - ")</f>
        <v>2.5786682380671775</v>
      </c>
      <c r="D31" s="1100">
        <f>IF(ISNUMBER('Resol  Asuntos'!D31/NºAsuntos!G31),'Resol  Asuntos'!D31/NºAsuntos!G31," - ")</f>
        <v>0.25456688273423689</v>
      </c>
      <c r="E31" s="1101">
        <f>IF(ISNUMBER((NºAsuntos!C31+NºAsuntos!E31)/NºAsuntos!G31),(NºAsuntos!C31+NºAsuntos!E31)/NºAsuntos!G31," - ")</f>
        <v>3.5786682380671775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KxG7K1mIU2h1fb/umz5/PmExIitnQ/t24ZThnz8HOdPQOmYkuQseOUxohr/LZcqJsOpPlpmM6yxxV+fBp8SvA==" saltValue="AnTxlrmjCetU+0R/7fgT6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UTRERA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1</v>
      </c>
      <c r="Y10" s="374">
        <f t="shared" ref="Y10:Y13" si="0">SUM(W10:X10)</f>
        <v>2</v>
      </c>
      <c r="Z10" s="375" t="str">
        <f>IF(ISNUMBER(Datos!CC10),Datos!CC10," - ")</f>
        <v xml:space="preserve"> - </v>
      </c>
      <c r="AA10" s="372">
        <f>IF(ISNUMBER(Datos!L10),Datos!L10,"-")</f>
        <v>0</v>
      </c>
      <c r="AB10" s="374">
        <f>IF(ISNUMBER(Datos!R10),Datos!R10," - ")</f>
        <v>2</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635</v>
      </c>
      <c r="Y12" s="374">
        <f t="shared" si="0"/>
        <v>635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240</v>
      </c>
      <c r="AJ12" s="243" t="str">
        <f>IF(ISNUMBER(Datos!BW12),Datos!BW12," - ")</f>
        <v xml:space="preserve"> - </v>
      </c>
      <c r="AK12" s="242" t="str">
        <f>IF(ISNUMBER(Datos!BX12),Datos!BX12," - ")</f>
        <v xml:space="preserve"> - </v>
      </c>
      <c r="AL12" s="266">
        <f>IF(ISNUMBER(NºAsuntos!G12/NºAsuntos!E12),NºAsuntos!G12/NºAsuntos!E12," - ")</f>
        <v>1.0229007633587786</v>
      </c>
      <c r="AM12" s="284">
        <f>IF(ISNUMBER(((NºAsuntos!I12/NºAsuntos!G12)*11)/factor_trimestre),((NºAsuntos!I12/NºAsuntos!G12)*11)/factor_trimestre," - ")</f>
        <v>9.8955223880597014</v>
      </c>
      <c r="AN12" s="267">
        <f>IF(ISNUMBER('Resol  Asuntos'!D12/NºAsuntos!G12),'Resol  Asuntos'!D12/NºAsuntos!G12," - ")</f>
        <v>0.25586353944562901</v>
      </c>
      <c r="AO12" s="268">
        <f>IF(ISNUMBER((NºAsuntos!C12+NºAsuntos!E12)/NºAsuntos!G12),(NºAsuntos!C12+NºAsuntos!E12)/NºAsuntos!G12," - ")</f>
        <v>4.2985074626865671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0</v>
      </c>
      <c r="G14" s="1163">
        <f t="shared" si="5"/>
        <v>0</v>
      </c>
      <c r="H14" s="1162">
        <f t="shared" si="5"/>
        <v>0</v>
      </c>
      <c r="I14" s="1164">
        <f t="shared" si="5"/>
        <v>0</v>
      </c>
      <c r="J14" s="1164">
        <f t="shared" si="5"/>
        <v>0</v>
      </c>
      <c r="K14" s="1164">
        <f t="shared" si="5"/>
        <v>0</v>
      </c>
      <c r="L14" s="1164">
        <f t="shared" si="5"/>
        <v>215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636</v>
      </c>
      <c r="Y14" s="1165">
        <f t="shared" si="6"/>
        <v>637</v>
      </c>
      <c r="Z14" s="1165">
        <f t="shared" si="6"/>
        <v>0</v>
      </c>
      <c r="AA14" s="1165">
        <f t="shared" si="6"/>
        <v>0</v>
      </c>
      <c r="AB14" s="1165">
        <f t="shared" si="6"/>
        <v>4994</v>
      </c>
      <c r="AC14" s="1165">
        <f t="shared" si="6"/>
        <v>2</v>
      </c>
      <c r="AD14" s="1165">
        <f t="shared" si="6"/>
        <v>0</v>
      </c>
      <c r="AE14" s="1169">
        <f t="shared" si="6"/>
        <v>0</v>
      </c>
      <c r="AF14" s="1162">
        <f t="shared" si="6"/>
        <v>0</v>
      </c>
      <c r="AG14" s="1170">
        <f t="shared" si="6"/>
        <v>0</v>
      </c>
      <c r="AH14" s="1167">
        <f t="shared" si="6"/>
        <v>0</v>
      </c>
      <c r="AI14" s="1162">
        <f t="shared" si="6"/>
        <v>240</v>
      </c>
      <c r="AJ14" s="1164">
        <f t="shared" si="6"/>
        <v>0</v>
      </c>
      <c r="AK14" s="1167">
        <f>SUBTOTAL(9,AK9:AK13)</f>
        <v>0</v>
      </c>
      <c r="AL14" s="1171">
        <f>IF(ISNUMBER(NºAsuntos!G14/NºAsuntos!E14),NºAsuntos!G14/NºAsuntos!E14," - ")</f>
        <v>1.022875816993464</v>
      </c>
      <c r="AM14" s="1171">
        <f>IF(ISNUMBER(((NºAsuntos!I14/NºAsuntos!G14)*11)/factor_trimestre),((NºAsuntos!I14/NºAsuntos!G14)*11)/factor_trimestre," - ")</f>
        <v>9.8849840255591044</v>
      </c>
      <c r="AN14" s="1172">
        <f>IF(ISNUMBER('Resol  Asuntos'!D14/NºAsuntos!G14),'Resol  Asuntos'!D14/NºAsuntos!G14," - ")</f>
        <v>0.25559105431309903</v>
      </c>
      <c r="AO14" s="1173">
        <f>IF(ISNUMBER((NºAsuntos!C14+NºAsuntos!E14)/NºAsuntos!G14),(NºAsuntos!C14+NºAsuntos!E14)/NºAsuntos!G14," - ")</f>
        <v>4.2949946751863681</v>
      </c>
      <c r="AP14" s="1174" t="str">
        <f t="shared" si="2"/>
        <v xml:space="preserve"> - </v>
      </c>
      <c r="AQ14" s="1174" t="str">
        <f>IF(ISNUMBER((H14-W14+K14)/(F14)),(H14-W14+K14)/(F14)," - ")</f>
        <v xml:space="preserve"> - </v>
      </c>
      <c r="AR14" s="1175">
        <f>IF(ISNUMBER((Datos!P14-Datos!Q14)/(Datos!R14-Datos!P14+Datos!Q14)),(Datos!P14-Datos!Q14)/(Datos!R14-Datos!P14+Datos!Q14)," - ")</f>
        <v>-7.774699907663897E-2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1190</v>
      </c>
      <c r="G17" s="373">
        <f>IF(ISNUMBER(IF(D_I="SI",Datos!I17,Datos!I17+Datos!AC17)),IF(D_I="SI",Datos!I17,Datos!I17+Datos!AC17)," - ")</f>
        <v>1190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684</v>
      </c>
      <c r="X17" s="240">
        <f>IF(ISNUMBER(Datos!Q17),Datos!Q17," - ")</f>
        <v>20</v>
      </c>
      <c r="Y17" s="374">
        <f t="shared" ref="Y17:Y22" si="9">SUM(W17:X17)</f>
        <v>704</v>
      </c>
      <c r="Z17" s="375" t="str">
        <f>IF(ISNUMBER(Datos!CC17),Datos!CC17," - ")</f>
        <v xml:space="preserve"> - </v>
      </c>
      <c r="AA17" s="372">
        <f>IF(ISNUMBER(IF(D_I="SI",Datos!L17,Datos!L17+Datos!AF17)),IF(D_I="SI",Datos!L17,Datos!L17+Datos!AF17)," - ")</f>
        <v>1273</v>
      </c>
      <c r="AB17" s="374">
        <f>IF(ISNUMBER(Datos!R17),Datos!R17," - ")</f>
        <v>208</v>
      </c>
      <c r="AC17" s="374">
        <f t="shared" si="8"/>
        <v>1481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177</v>
      </c>
      <c r="AJ17" s="245" t="str">
        <f>IF(ISNUMBER(Datos!BW17),Datos!BW17," - ")</f>
        <v xml:space="preserve"> - </v>
      </c>
      <c r="AK17" s="246" t="str">
        <f>IF(ISNUMBER(Datos!BX17),Datos!BX17," - ")</f>
        <v xml:space="preserve"> - </v>
      </c>
      <c r="AL17" s="266">
        <f>IF(ISNUMBER(NºAsuntos!G17/NºAsuntos!E17),NºAsuntos!G17/NºAsuntos!E17," - ")</f>
        <v>0.89178617992177311</v>
      </c>
      <c r="AM17" s="284">
        <f>IF(ISNUMBER(((NºAsuntos!I17/NºAsuntos!G17)*11)/factor_trimestre),((NºAsuntos!I17/NºAsuntos!G17)*11)/factor_trimestre," - ")</f>
        <v>5.583333333333333</v>
      </c>
      <c r="AN17" s="267">
        <f>IF(ISNUMBER('Resol  Asuntos'!D17/NºAsuntos!G17),'Resol  Asuntos'!D17/NºAsuntos!G17," - ")</f>
        <v>0.25877192982456143</v>
      </c>
      <c r="AO17" s="268">
        <f>IF(ISNUMBER((NºAsuntos!C17+NºAsuntos!E17)/NºAsuntos!G17),(NºAsuntos!C17+NºAsuntos!E17)/NºAsuntos!G17," - ")</f>
        <v>2.8611111111111112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0</v>
      </c>
      <c r="Y18" s="374">
        <f t="shared" si="9"/>
        <v>74</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1.2333333333333334</v>
      </c>
      <c r="AM18" s="284">
        <f>IF(ISNUMBER(((NºAsuntos!I18/NºAsuntos!G18)*11)/factor_trimestre),((NºAsuntos!I18/NºAsuntos!G18)*11)/factor_trimestre," - ")</f>
        <v>0.36486486486486491</v>
      </c>
      <c r="AN18" s="267">
        <f>IF(ISNUMBER('Resol  Asuntos'!D18/NºAsuntos!G18),'Resol  Asuntos'!D18/NºAsuntos!G18," - ")</f>
        <v>0.20270270270270271</v>
      </c>
      <c r="AO18" s="268">
        <f>IF(ISNUMBER((NºAsuntos!C18+NºAsuntos!E18)/NºAsuntos!G18),(NºAsuntos!C18+NºAsuntos!E18)/NºAsuntos!G18," - ")</f>
        <v>1.1216216216216217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1190</v>
      </c>
      <c r="G23" s="1163">
        <f>SUBTOTAL(9,G16:G22)</f>
        <v>1213</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758</v>
      </c>
      <c r="X23" s="1164">
        <f t="shared" si="14"/>
        <v>20</v>
      </c>
      <c r="Y23" s="1165">
        <f t="shared" si="14"/>
        <v>778</v>
      </c>
      <c r="Z23" s="1165">
        <f t="shared" si="14"/>
        <v>0</v>
      </c>
      <c r="AA23" s="1165">
        <f t="shared" si="14"/>
        <v>1282</v>
      </c>
      <c r="AB23" s="1165">
        <f t="shared" si="14"/>
        <v>208</v>
      </c>
      <c r="AC23" s="1165">
        <f t="shared" si="14"/>
        <v>1490</v>
      </c>
      <c r="AD23" s="1165">
        <f t="shared" si="14"/>
        <v>0</v>
      </c>
      <c r="AE23" s="1169">
        <f t="shared" si="14"/>
        <v>0</v>
      </c>
      <c r="AF23" s="1162">
        <f t="shared" si="14"/>
        <v>0</v>
      </c>
      <c r="AG23" s="1170">
        <f t="shared" si="14"/>
        <v>0</v>
      </c>
      <c r="AH23" s="1167">
        <f t="shared" si="14"/>
        <v>0</v>
      </c>
      <c r="AI23" s="1162">
        <f t="shared" si="14"/>
        <v>192</v>
      </c>
      <c r="AJ23" s="1164">
        <f t="shared" si="14"/>
        <v>0</v>
      </c>
      <c r="AK23" s="1167">
        <f t="shared" si="14"/>
        <v>0</v>
      </c>
      <c r="AL23" s="1171">
        <f>IF(ISNUMBER(NºAsuntos!G23/NºAsuntos!E23),NºAsuntos!G23/NºAsuntos!E23," - ")</f>
        <v>0.91656590084643286</v>
      </c>
      <c r="AM23" s="1171">
        <f>IF(ISNUMBER(((NºAsuntos!I23/NºAsuntos!G23)*11)/factor_trimestre),((NºAsuntos!I23/NºAsuntos!G23)*11)/factor_trimestre," - ")</f>
        <v>5.0738786279683383</v>
      </c>
      <c r="AN23" s="1172">
        <f>IF(ISNUMBER('Resol  Asuntos'!D23/NºAsuntos!G23),'Resol  Asuntos'!D23/NºAsuntos!G23," - ")</f>
        <v>0.25329815303430081</v>
      </c>
      <c r="AO23" s="1173">
        <f>IF(ISNUMBER((NºAsuntos!C23+NºAsuntos!E23)/NºAsuntos!G23),(NºAsuntos!C23+NºAsuntos!E23)/NºAsuntos!G23," - ")</f>
        <v>2.6912928759894461</v>
      </c>
      <c r="AP23" s="1174" t="str">
        <f t="shared" si="2"/>
        <v xml:space="preserve"> - </v>
      </c>
      <c r="AQ23" s="1174">
        <f>IF(ISNUMBER((H23-W23+K23)/(F23)),(H23-W23+K23)/(F23)," - ")</f>
        <v>-0.63697478991596634</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1190</v>
      </c>
      <c r="G31" s="1118">
        <f t="shared" si="20"/>
        <v>1213</v>
      </c>
      <c r="H31" s="1117">
        <f t="shared" si="20"/>
        <v>0</v>
      </c>
      <c r="I31" s="1119">
        <f t="shared" si="20"/>
        <v>0</v>
      </c>
      <c r="J31" s="1119">
        <f t="shared" si="20"/>
        <v>0</v>
      </c>
      <c r="K31" s="1180">
        <f t="shared" si="20"/>
        <v>0</v>
      </c>
      <c r="L31" s="1119">
        <f t="shared" si="20"/>
        <v>227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759</v>
      </c>
      <c r="X31" s="1118">
        <f t="shared" si="21"/>
        <v>656</v>
      </c>
      <c r="Y31" s="1125">
        <f t="shared" si="21"/>
        <v>1415</v>
      </c>
      <c r="Z31" s="1125">
        <f t="shared" si="21"/>
        <v>0</v>
      </c>
      <c r="AA31" s="1125">
        <f t="shared" si="21"/>
        <v>1282</v>
      </c>
      <c r="AB31" s="1125">
        <f t="shared" si="21"/>
        <v>5202</v>
      </c>
      <c r="AC31" s="1125">
        <f t="shared" si="21"/>
        <v>1492</v>
      </c>
      <c r="AD31" s="1125">
        <f t="shared" si="21"/>
        <v>0</v>
      </c>
      <c r="AE31" s="1127">
        <f t="shared" si="21"/>
        <v>0</v>
      </c>
      <c r="AF31" s="1128">
        <f t="shared" si="21"/>
        <v>0</v>
      </c>
      <c r="AG31" s="1129">
        <f t="shared" si="21"/>
        <v>0</v>
      </c>
      <c r="AH31" s="1127">
        <f t="shared" si="21"/>
        <v>0</v>
      </c>
      <c r="AI31" s="1117">
        <f t="shared" si="21"/>
        <v>432</v>
      </c>
      <c r="AJ31" s="1117">
        <f t="shared" si="21"/>
        <v>0</v>
      </c>
      <c r="AK31" s="1127">
        <f t="shared" si="21"/>
        <v>0</v>
      </c>
      <c r="AL31" s="1183">
        <f>IF(ISNUMBER(NºAsuntos!G31/NºAsuntos!E31),NºAsuntos!G31/NºAsuntos!E31," - ")</f>
        <v>0.97249283667621778</v>
      </c>
      <c r="AM31" s="1184">
        <f>IF(ISNUMBER(((NºAsuntos!I31/NºAsuntos!G31)*11)/factor_trimestre),((NºAsuntos!I31/NºAsuntos!G31)*11)/factor_trimestre," - ")</f>
        <v>7.736004714201532</v>
      </c>
      <c r="AN31" s="1184">
        <f>IF(ISNUMBER('Resol  Asuntos'!D31/NºAsuntos!G31),'Resol  Asuntos'!D31/NºAsuntos!G31," - ")</f>
        <v>0.25456688273423689</v>
      </c>
      <c r="AO31" s="1185">
        <f>IF(ISNUMBER((NºAsuntos!C31+NºAsuntos!E31)/NºAsuntos!G31),(NºAsuntos!C31+NºAsuntos!E31)/NºAsuntos!G31," - ")</f>
        <v>3.5786682380671775</v>
      </c>
      <c r="AP31" s="1186" t="str">
        <f t="shared" si="2"/>
        <v xml:space="preserve"> - </v>
      </c>
      <c r="AQ31" s="1187">
        <f>IF(OR(ISNUMBER(FIND("01",Criterios!A8,1)),ISNUMBER(FIND("02",Criterios!A8,1)),ISNUMBER(FIND("03",Criterios!A8,1)),ISNUMBER(FIND("04",Criterios!A8,1))),(I31-W31+K31)/(F31-K31),(H31-W31+K31)/(F31-K31))</f>
        <v>-0.63781512605042012</v>
      </c>
      <c r="AR31" s="1188">
        <f>IF(ISNUMBER((Datos!P31-Datos!Q31)/(Datos!R31-Datos!P31+Datos!Q31)),(Datos!P31-Datos!Q31)/(Datos!R31-Datos!P31+Datos!Q31)," - ")</f>
        <v>-7.6185402237613206E-2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614.51335759824349</v>
      </c>
      <c r="G33" s="277">
        <f>IF(ISNUMBER(STDEV(G8:G30)),STDEV(G8:G30),"-")</f>
        <v>584.12551651817012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346.09942144391044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113.58194021435425</v>
      </c>
      <c r="AJ33" s="276">
        <f t="shared" si="25"/>
        <v>0</v>
      </c>
      <c r="AK33" s="278">
        <f t="shared" si="25"/>
        <v>0</v>
      </c>
      <c r="AL33" s="273">
        <f t="shared" si="25"/>
        <v>0.12073834416221035</v>
      </c>
      <c r="AM33" s="274">
        <f t="shared" si="25"/>
        <v>4.3486104743832028</v>
      </c>
      <c r="AN33" s="274">
        <f t="shared" si="25"/>
        <v>0.10237049566039062</v>
      </c>
      <c r="AO33" s="275">
        <f t="shared" si="25"/>
        <v>1.4495368247944009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8dxZthiwotFZQmFyIVg+yX5WitgeXvVCPc1BXuzp9dTDzWIv7NfFDu+fNsL7WOEPO2xnkjITqcKG8jJ44SSaw==" saltValue="w13iRrhmskIBf7iTMfWx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UTRERA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-0.15991414113151436</v>
      </c>
      <c r="J12" s="394">
        <f>IF(ISNUMBER((Tasas!D12-Datos!BF12)/Datos!BF12),(Tasas!D12-Datos!BF12)/Datos!BF12," - ")</f>
        <v>-0.41648387047291802</v>
      </c>
      <c r="K12" s="396">
        <f>IF(ISNUMBER((Tasas!E12-Datos!BG12)/Datos!BG12),(Tasas!E12-Datos!BG12)/Datos!BG12," - ")</f>
        <v>-0.12763965065835986</v>
      </c>
      <c r="M12" t="e">
        <f>IF(Monitorios="SI",Datos!CE12,0)</f>
        <v>#REF!</v>
      </c>
      <c r="N12" t="e">
        <f>IF(Monitorios="SI",Datos!CF12,0)</f>
        <v>#REF!</v>
      </c>
      <c r="O12" t="e">
        <f>IF(Monitorios="SI",Datos!CG12,0)</f>
        <v>#REF!</v>
      </c>
      <c r="P12" t="e">
        <f>IF(Monitorios="SI",Datos!CH12,0)</f>
        <v>#REF!</v>
      </c>
      <c r="Q12">
        <f>IF(J_V="SI",0,Datos!AG12)</f>
        <v>132</v>
      </c>
      <c r="R12">
        <f>IF(J_V="SI",0,Datos!AH12)</f>
        <v>73</v>
      </c>
      <c r="S12">
        <f>IF(J_V="SI",0,Datos!AI12)</f>
        <v>86</v>
      </c>
      <c r="T12">
        <f>IF(J_V="SI",0,Datos!AJ12)</f>
        <v>119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7.1428571428571425E-2</v>
      </c>
      <c r="I14" s="402">
        <f>IF(ISNUMBER((Tasas!C14-Datos!BE14)/Datos!BE14),(Tasas!C14-Datos!BE14)/Datos!BE14," - ")</f>
        <v>-0.15992637097551607</v>
      </c>
      <c r="J14" s="400">
        <f>IF(ISNUMBER((Tasas!D14-Datos!BF14)/Datos!BF14),(Tasas!D14-Datos!BF14)/Datos!BF14," - ")</f>
        <v>-0.41649236521326072</v>
      </c>
      <c r="K14" s="403">
        <f>IF(ISNUMBER((Tasas!E14-Datos!BG14)/Datos!BG14),(Tasas!E14-Datos!BG14)/Datos!BG14," - ")</f>
        <v>-0.12762216113133718</v>
      </c>
      <c r="M14" t="e">
        <f>IF(Monitorios="SI",Datos!CE14,0)</f>
        <v>#REF!</v>
      </c>
      <c r="N14" t="e">
        <f>IF(Monitorios="SI",Datos!CF14,0)</f>
        <v>#REF!</v>
      </c>
      <c r="O14" t="e">
        <f>IF(Monitorios="SI",Datos!CG14,0)</f>
        <v>#REF!</v>
      </c>
      <c r="P14" t="e">
        <f>IF(Monitorios="SI",Datos!CH14,0)</f>
        <v>#REF!</v>
      </c>
      <c r="Q14">
        <f>IF(J_V="SI",0,Datos!AG14)</f>
        <v>132</v>
      </c>
      <c r="R14">
        <f>IF(J_V="SI",0,Datos!AH14)</f>
        <v>73</v>
      </c>
      <c r="S14">
        <f>IF(J_V="SI",0,Datos!AI14)</f>
        <v>86</v>
      </c>
      <c r="T14">
        <f>IF(J_V="SI",0,Datos!AJ14)</f>
        <v>119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-0.18437285812200138</v>
      </c>
      <c r="E17" s="393">
        <f>IF(ISNUMBER(
   IF(D_I="SI",(Datos!J17-Datos!T17)/Datos!T17,(Datos!J17+Datos!AD17-(Datos!T17+Datos!AL17))/(Datos!T17+Datos!AL17))
     ),IF(D_I="SI",(Datos!J17-Datos!T17)/Datos!T17,(Datos!J17+Datos!AD17-(Datos!T17+Datos!AL17))/(Datos!T17+Datos!AL17))," - ")</f>
        <v>-0.14872364039955605</v>
      </c>
      <c r="F17" s="393">
        <f>IF(ISNUMBER(
   IF(D_I="SI",(Datos!K17-Datos!U17)/Datos!U17,(Datos!K17+Datos!AE17-(Datos!U17+Datos!AM17))/(Datos!U17+Datos!AM17))
     ),IF(D_I="SI",(Datos!K17-Datos!U17)/Datos!U17,(Datos!K17+Datos!AE17-(Datos!U17+Datos!AM17))/(Datos!U17+Datos!AM17))," - ")</f>
        <v>-0.26213592233009708</v>
      </c>
      <c r="G17" s="394">
        <f>IF(ISNUMBER(
   IF(D_I="SI",(Datos!L17-Datos!V17)/Datos!V17,(Datos!L17+Datos!AF17-(Datos!V17+Datos!AN17))/(Datos!V17+Datos!AN17))
     ),IF(D_I="SI",(Datos!L17-Datos!V17)/Datos!V17,(Datos!L17+Datos!AF17-(Datos!V17+Datos!AN17))/(Datos!V17+Datos!AN17))," - ")</f>
        <v>-0.11165387299371947</v>
      </c>
      <c r="H17" s="244">
        <f>IF(ISNUMBER((Datos!M17-Datos!W17)/Datos!W17),(Datos!M17-Datos!W17)/Datos!W17," - ")</f>
        <v>0.22916666666666666</v>
      </c>
      <c r="I17" s="395">
        <f>IF(ISNUMBER((Tasas!C17-Datos!BE17)/Datos!BE17),(Tasas!C17-Datos!BE17)/Datos!BE17," - ")</f>
        <v>0.20394277739009073</v>
      </c>
      <c r="J17" s="394">
        <f>IF(ISNUMBER((Tasas!D17-Datos!BF17)/Datos!BF17),(Tasas!D17-Datos!BF17)/Datos!BF17," - ")</f>
        <v>0.66584429824561431</v>
      </c>
      <c r="K17" s="396">
        <f>IF(ISNUMBER((Tasas!E17-Datos!BG17)/Datos!BG17),(Tasas!E17-Datos!BG17)/Datos!BG17," - ")</f>
        <v>0.12383474576271197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-0.46511627906976744</v>
      </c>
      <c r="E18" s="393">
        <f>IF(ISNUMBER(
   IF(D_I="SI",(Datos!J18-Datos!T18)/Datos!T18,(Datos!J18+Datos!AD18-(Datos!T18+Datos!AL18))/(Datos!T18+Datos!AL18))
     ),IF(D_I="SI",(Datos!J18-Datos!T18)/Datos!T18,(Datos!J18+Datos!AD18-(Datos!T18+Datos!AL18))/(Datos!T18+Datos!AL18))," - ")</f>
        <v>-0.35483870967741937</v>
      </c>
      <c r="F18" s="393">
        <f>IF(ISNUMBER(
   IF(D_I="SI",(Datos!K18-Datos!U18)/Datos!U18,(Datos!K18+Datos!AE18-(Datos!U18+Datos!AM18))/(Datos!U18+Datos!AM18))
     ),IF(D_I="SI",(Datos!K18-Datos!U18)/Datos!U18,(Datos!K18+Datos!AE18-(Datos!U18+Datos!AM18))/(Datos!U18+Datos!AM18))," - ")</f>
        <v>-0.20430107526881722</v>
      </c>
      <c r="G18" s="394">
        <f>IF(ISNUMBER(
   IF(D_I="SI",(Datos!L18-Datos!V18)/Datos!V18,(Datos!L18+Datos!AF18-(Datos!V18+Datos!AN18))/(Datos!V18+Datos!AN18))
     ),IF(D_I="SI",(Datos!L18-Datos!V18)/Datos!V18,(Datos!L18+Datos!AF18-(Datos!V18+Datos!AN18))/(Datos!V18+Datos!AN18))," - ")</f>
        <v>-0.79069767441860461</v>
      </c>
      <c r="H18" s="244">
        <f>IF(ISNUMBER((Datos!M18-Datos!W18)/Datos!W18),(Datos!M18-Datos!W18)/Datos!W18," - ")</f>
        <v>-0.4</v>
      </c>
      <c r="I18" s="395">
        <f>IF(ISNUMBER((Tasas!C18-Datos!BE18)/Datos!BE18),(Tasas!C18-Datos!BE18)/Datos!BE18," - ")</f>
        <v>-0.73695788812067875</v>
      </c>
      <c r="J18" s="394">
        <f>IF(ISNUMBER((Tasas!D18-Datos!BF18)/Datos!BF18),(Tasas!D18-Datos!BF18)/Datos!BF18," - ")</f>
        <v>-0.24594594594594585</v>
      </c>
      <c r="K18" s="396">
        <f>IF(ISNUMBER((Tasas!E18-Datos!BG18)/Datos!BG18),(Tasas!E18-Datos!BG18)/Datos!BG18," - ")</f>
        <v>-0.23300874403815575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-0.19241011984021306</v>
      </c>
      <c r="E23" s="399">
        <f>IF(ISNUMBER(
   IF(D_I="SI",(Datos!J23-Datos!T23)/Datos!T23,(Datos!J23+Datos!AD23-(Datos!T23+Datos!AL23))/(Datos!T23+Datos!AL23))
     ),IF(D_I="SI",(Datos!J23-Datos!T23)/Datos!T23,(Datos!J23+Datos!AD23-(Datos!T23+Datos!AL23))/(Datos!T23+Datos!AL23))," - ")</f>
        <v>-0.16800804828973842</v>
      </c>
      <c r="F23" s="399">
        <f>IF(ISNUMBER(
   IF(D_I="SI",(Datos!K23-Datos!U23)/Datos!U23,(Datos!K23+Datos!AE23-(Datos!U23+Datos!AM23))/(Datos!U23+Datos!AM23))
     ),IF(D_I="SI",(Datos!K23-Datos!U23)/Datos!U23,(Datos!K23+Datos!AE23-(Datos!U23+Datos!AM23))/(Datos!U23+Datos!AM23))," - ")</f>
        <v>-0.25686274509803919</v>
      </c>
      <c r="G23" s="400">
        <f>IF(ISNUMBER(
   IF(D_I="SI",(Datos!L23-Datos!V23)/Datos!V23,(Datos!L23+Datos!AF23-(Datos!V23+Datos!AN23))/(Datos!V23+Datos!AN23))
     ),IF(D_I="SI",(Datos!L23-Datos!V23)/Datos!V23,(Datos!L23+Datos!AF23-(Datos!V23+Datos!AN23))/(Datos!V23+Datos!AN23))," - ")</f>
        <v>-0.13143631436314362</v>
      </c>
      <c r="H23" s="401">
        <f>IF(ISNUMBER((Datos!M23-Datos!W23)/Datos!W23),(Datos!M23-Datos!W23)/Datos!W23," - ")</f>
        <v>0.13609467455621302</v>
      </c>
      <c r="I23" s="402">
        <f>IF(ISNUMBER((Tasas!C23-Datos!BE23)/Datos!BE23),(Tasas!C23-Datos!BE23)/Datos!BE23," - ")</f>
        <v>0.16877962974880409</v>
      </c>
      <c r="J23" s="400">
        <f>IF(ISNUMBER((Tasas!D23-Datos!BF23)/Datos!BF23),(Tasas!D23-Datos!BF23)/Datos!BF23," - ")</f>
        <v>0.52878175204134226</v>
      </c>
      <c r="K23" s="403">
        <f>IF(ISNUMBER((Tasas!E23-Datos!BG23)/Datos!BG23),(Tasas!E23-Datos!BG23)/Datos!BG23," - ")</f>
        <v>9.9807184899533177E-2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-0.16657038320816484</v>
      </c>
      <c r="E31" s="409">
        <f>IF(ISNUMBER(
   IF(J_V="SI",(Datos!J31-Datos!T31)/Datos!T31,(Datos!J31+Datos!Z31-(Datos!T31+Datos!AH31))/(Datos!T31+Datos!AH31))
     ),IF(J_V="SI",(Datos!J31-Datos!T31)/Datos!T31,(Datos!J31+Datos!Z31-(Datos!T31+Datos!AH31))/(Datos!T31+Datos!AH31))," - ")</f>
        <v>-0.12311557788944724</v>
      </c>
      <c r="F31" s="409">
        <f>IF(ISNUMBER(
   IF(J_V="SI",(Datos!K31-Datos!U31)/Datos!U31,(Datos!K31+Datos!AA31-(Datos!U31+Datos!AI31))/(Datos!U31+Datos!AI31))
     ),IF(J_V="SI",(Datos!K31-Datos!U31)/Datos!U31,(Datos!K31+Datos!AA31-(Datos!U31+Datos!AI31))/(Datos!U31+Datos!AI31))," - ")</f>
        <v>-0.13945233265720081</v>
      </c>
      <c r="G31" s="410">
        <f>IF(ISNUMBER(
   IF(J_V="SI",(Datos!L31-Datos!V31)/Datos!V31,(Datos!L31+Datos!AB31-(Datos!V31+Datos!AJ31))/(Datos!V31+Datos!AJ31))
     ),IF(J_V="SI",(Datos!L31-Datos!V31)/Datos!V31,(Datos!L31+Datos!AB31-(Datos!V31+Datos!AJ31))/(Datos!V31+Datos!AJ31))," - ")</f>
        <v>-0.1600767754318618</v>
      </c>
      <c r="H31" s="411">
        <f>IF(ISNUMBER((Datos!M31-Datos!W31)/Datos!W31),(Datos!M31-Datos!W31)/Datos!W31," - ")</f>
        <v>9.9236641221374045E-2</v>
      </c>
      <c r="I31" s="408">
        <f>IF(ISNUMBER((Tasas!C31-Datos!BE31)/Datos!BE31),(Tasas!C31-Datos!BE31)/Datos!BE31," - ")</f>
        <v>-2.3966647702788089E-2</v>
      </c>
      <c r="J31" s="409">
        <f>IF(ISNUMBER((Tasas!D31-Datos!BF31)/Datos!BF31),(Tasas!D31-Datos!BF31)/Datos!BF31," - ")</f>
        <v>-0.14333465400697076</v>
      </c>
      <c r="K31" s="410">
        <f>IF(ISNUMBER((Tasas!E31-Datos!BG31)/Datos!BG31),(Tasas!E31-Datos!BG31)/Datos!BG31," - ")</f>
        <v>-1.752279472804201E-2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0.15981766447169138</v>
      </c>
      <c r="E33" s="303">
        <f t="shared" si="1"/>
        <v>0.14549253749333996</v>
      </c>
      <c r="F33" s="303">
        <f t="shared" si="1"/>
        <v>0.12334506003454437</v>
      </c>
      <c r="G33" s="304">
        <f t="shared" si="1"/>
        <v>0.38646202273579872</v>
      </c>
      <c r="H33" s="310">
        <f t="shared" si="1"/>
        <v>0.24438968977146588</v>
      </c>
      <c r="I33" s="302">
        <f t="shared" si="1"/>
        <v>0.37773771738276185</v>
      </c>
      <c r="J33" s="303">
        <f t="shared" si="1"/>
        <v>0.53096501926352269</v>
      </c>
      <c r="K33" s="304">
        <f t="shared" si="1"/>
        <v>0.14177270877695167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cukb+sHuYAMfTOrNFaES9s6uAFqBtnR0n2Lx7Ju+64kkWXq9QYHD1vid7rwMJQSBBAboSnL+EKAaLbHR80Jvw==" saltValue="wNr0dWZdIHFJ8SgnLOJu5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